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3.xml" ContentType="application/vnd.openxmlformats-officedocument.drawing+xml"/>
  <Override PartName="/xl/drawings/drawing2.xml" ContentType="application/vnd.openxmlformats-officedocument.drawing+xml"/>
  <Override PartName="/xl/drawings/drawing1.xml" ContentType="application/vnd.openxmlformats-officedocument.drawing+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EstaPasta_de_trabalho" hidePivotFieldList="1" defaultThemeVersion="124226"/>
  <bookViews>
    <workbookView xWindow="-15" yWindow="405" windowWidth="7590" windowHeight="7635" tabRatio="380"/>
  </bookViews>
  <sheets>
    <sheet name="FLUXO 2015 ANUAL" sheetId="77" r:id="rId1"/>
    <sheet name="FLUXO 2015 MENSAL" sheetId="171" r:id="rId2"/>
    <sheet name="Nota Explicativa 2015" sheetId="170" r:id="rId3"/>
  </sheets>
  <definedNames>
    <definedName name="_xlnm._FilterDatabase" localSheetId="0" hidden="1">'FLUXO 2015 ANUAL'!#REF!</definedName>
    <definedName name="_xlnm._FilterDatabase" localSheetId="1" hidden="1">'FLUXO 2015 MENSAL'!#REF!</definedName>
    <definedName name="_xlnm._FilterDatabase" localSheetId="2" hidden="1">'Nota Explicativa 2015'!#REF!</definedName>
    <definedName name="solver_cvg" localSheetId="0" hidden="1">0.001</definedName>
    <definedName name="solver_cvg" localSheetId="1" hidden="1">0.001</definedName>
    <definedName name="solver_cvg" localSheetId="2" hidden="1">0.001</definedName>
    <definedName name="solver_drv" localSheetId="0" hidden="1">1</definedName>
    <definedName name="solver_drv" localSheetId="1" hidden="1">1</definedName>
    <definedName name="solver_drv" localSheetId="2" hidden="1">1</definedName>
    <definedName name="solver_est" localSheetId="0" hidden="1">1</definedName>
    <definedName name="solver_est" localSheetId="1" hidden="1">1</definedName>
    <definedName name="solver_est" localSheetId="2" hidden="1">1</definedName>
    <definedName name="solver_itr" localSheetId="0" hidden="1">100</definedName>
    <definedName name="solver_itr" localSheetId="1" hidden="1">100</definedName>
    <definedName name="solver_itr" localSheetId="2" hidden="1">100</definedName>
    <definedName name="solver_lin" localSheetId="0" hidden="1">2</definedName>
    <definedName name="solver_lin" localSheetId="1" hidden="1">2</definedName>
    <definedName name="solver_lin" localSheetId="2" hidden="1">2</definedName>
    <definedName name="solver_neg" localSheetId="0" hidden="1">2</definedName>
    <definedName name="solver_neg" localSheetId="1" hidden="1">2</definedName>
    <definedName name="solver_neg" localSheetId="2" hidden="1">2</definedName>
    <definedName name="solver_num" localSheetId="0" hidden="1">0</definedName>
    <definedName name="solver_num" localSheetId="1" hidden="1">0</definedName>
    <definedName name="solver_num" localSheetId="2" hidden="1">0</definedName>
    <definedName name="solver_nwt" localSheetId="0" hidden="1">1</definedName>
    <definedName name="solver_nwt" localSheetId="1" hidden="1">1</definedName>
    <definedName name="solver_nwt" localSheetId="2" hidden="1">1</definedName>
    <definedName name="solver_opt" localSheetId="0" hidden="1">'FLUXO 2015 ANUAL'!#REF!</definedName>
    <definedName name="solver_opt" localSheetId="1" hidden="1">'FLUXO 2015 MENSAL'!#REF!</definedName>
    <definedName name="solver_opt" localSheetId="2" hidden="1">'Nota Explicativa 2015'!#REF!</definedName>
    <definedName name="solver_pre" localSheetId="0" hidden="1">0.000001</definedName>
    <definedName name="solver_pre" localSheetId="1" hidden="1">0.000001</definedName>
    <definedName name="solver_pre" localSheetId="2" hidden="1">0.000001</definedName>
    <definedName name="solver_scl" localSheetId="0" hidden="1">2</definedName>
    <definedName name="solver_scl" localSheetId="1" hidden="1">2</definedName>
    <definedName name="solver_scl" localSheetId="2" hidden="1">2</definedName>
    <definedName name="solver_sho" localSheetId="0" hidden="1">2</definedName>
    <definedName name="solver_sho" localSheetId="1" hidden="1">2</definedName>
    <definedName name="solver_sho" localSheetId="2" hidden="1">2</definedName>
    <definedName name="solver_tim" localSheetId="0" hidden="1">100</definedName>
    <definedName name="solver_tim" localSheetId="1" hidden="1">100</definedName>
    <definedName name="solver_tim" localSheetId="2" hidden="1">100</definedName>
    <definedName name="solver_tol" localSheetId="0" hidden="1">0.05</definedName>
    <definedName name="solver_tol" localSheetId="1" hidden="1">0.05</definedName>
    <definedName name="solver_tol" localSheetId="2" hidden="1">0.05</definedName>
    <definedName name="solver_typ" localSheetId="0" hidden="1">3</definedName>
    <definedName name="solver_typ" localSheetId="1" hidden="1">3</definedName>
    <definedName name="solver_typ" localSheetId="2" hidden="1">3</definedName>
    <definedName name="solver_val" localSheetId="0" hidden="1">0</definedName>
    <definedName name="solver_val" localSheetId="1" hidden="1">0</definedName>
    <definedName name="solver_val" localSheetId="2" hidden="1">0</definedName>
  </definedNames>
  <calcPr calcId="145621"/>
</workbook>
</file>

<file path=xl/calcChain.xml><?xml version="1.0" encoding="utf-8"?>
<calcChain xmlns="http://schemas.openxmlformats.org/spreadsheetml/2006/main">
  <c r="G8" i="171" l="1"/>
  <c r="R69" i="171"/>
  <c r="Q69" i="171"/>
  <c r="P69" i="171"/>
  <c r="O69" i="171"/>
  <c r="N69" i="171"/>
  <c r="M69" i="171"/>
  <c r="L69" i="171"/>
  <c r="K69" i="171"/>
  <c r="J69" i="171"/>
  <c r="I69" i="171"/>
  <c r="H69" i="171"/>
  <c r="G69" i="171"/>
  <c r="F69" i="171"/>
  <c r="E69" i="171"/>
  <c r="D69" i="171"/>
  <c r="R68" i="171"/>
  <c r="Q68" i="171"/>
  <c r="P68" i="171"/>
  <c r="O68" i="171"/>
  <c r="N68" i="171"/>
  <c r="M68" i="171"/>
  <c r="L68" i="171"/>
  <c r="K68" i="171"/>
  <c r="J68" i="171"/>
  <c r="I68" i="171"/>
  <c r="H68" i="171"/>
  <c r="G68" i="171"/>
  <c r="F68" i="171"/>
  <c r="E68" i="171"/>
  <c r="D68" i="171"/>
  <c r="R67" i="171"/>
  <c r="Q67" i="171"/>
  <c r="P67" i="171"/>
  <c r="O67" i="171"/>
  <c r="N67" i="171"/>
  <c r="M67" i="171"/>
  <c r="L67" i="171"/>
  <c r="K67" i="171"/>
  <c r="J67" i="171"/>
  <c r="I67" i="171"/>
  <c r="H67" i="171"/>
  <c r="G67" i="171"/>
  <c r="F67" i="171"/>
  <c r="E67" i="171"/>
  <c r="D67" i="171"/>
  <c r="R66" i="171"/>
  <c r="Q66" i="171"/>
  <c r="P66" i="171"/>
  <c r="O66" i="171"/>
  <c r="N66" i="171"/>
  <c r="M66" i="171"/>
  <c r="L66" i="171"/>
  <c r="K66" i="171"/>
  <c r="J66" i="171"/>
  <c r="I66" i="171"/>
  <c r="H66" i="171"/>
  <c r="G66" i="171"/>
  <c r="F66" i="171"/>
  <c r="E66" i="171"/>
  <c r="D66" i="171"/>
  <c r="R65" i="171"/>
  <c r="Q65" i="171"/>
  <c r="P65" i="171"/>
  <c r="O65" i="171"/>
  <c r="N65" i="171"/>
  <c r="M65" i="171"/>
  <c r="L65" i="171"/>
  <c r="K65" i="171"/>
  <c r="J65" i="171"/>
  <c r="I65" i="171"/>
  <c r="H65" i="171"/>
  <c r="G65" i="171"/>
  <c r="F65" i="171"/>
  <c r="E65" i="171"/>
  <c r="D65" i="171"/>
  <c r="R64" i="171"/>
  <c r="Q64" i="171"/>
  <c r="P64" i="171"/>
  <c r="O64" i="171"/>
  <c r="N64" i="171"/>
  <c r="M64" i="171"/>
  <c r="L64" i="171"/>
  <c r="K64" i="171"/>
  <c r="J64" i="171"/>
  <c r="I64" i="171"/>
  <c r="H64" i="171"/>
  <c r="G64" i="171"/>
  <c r="F64" i="171"/>
  <c r="E64" i="171"/>
  <c r="D64" i="171"/>
  <c r="R63" i="171"/>
  <c r="Q63" i="171"/>
  <c r="P63" i="171"/>
  <c r="O63" i="171"/>
  <c r="N63" i="171"/>
  <c r="M63" i="171"/>
  <c r="L63" i="171"/>
  <c r="K63" i="171"/>
  <c r="J63" i="171"/>
  <c r="I63" i="171"/>
  <c r="H63" i="171"/>
  <c r="G63" i="171"/>
  <c r="F63" i="171"/>
  <c r="E63" i="171"/>
  <c r="D63" i="171"/>
  <c r="R59" i="171"/>
  <c r="Q59" i="171"/>
  <c r="P59" i="171"/>
  <c r="O59" i="171"/>
  <c r="N59" i="171"/>
  <c r="M59" i="171"/>
  <c r="L59" i="171"/>
  <c r="K59" i="171"/>
  <c r="J59" i="171"/>
  <c r="I59" i="171"/>
  <c r="H59" i="171"/>
  <c r="G59" i="171"/>
  <c r="F59" i="171"/>
  <c r="E59" i="171"/>
  <c r="D59" i="171"/>
  <c r="R58" i="171"/>
  <c r="Q58" i="171"/>
  <c r="P58" i="171"/>
  <c r="O58" i="171"/>
  <c r="N58" i="171"/>
  <c r="M58" i="171"/>
  <c r="L58" i="171"/>
  <c r="K58" i="171"/>
  <c r="J58" i="171"/>
  <c r="I58" i="171"/>
  <c r="H58" i="171"/>
  <c r="G58" i="171"/>
  <c r="F58" i="171"/>
  <c r="E58" i="171"/>
  <c r="D58" i="171"/>
  <c r="R57" i="171"/>
  <c r="Q57" i="171"/>
  <c r="P57" i="171"/>
  <c r="O57" i="171"/>
  <c r="N57" i="171"/>
  <c r="M57" i="171"/>
  <c r="L57" i="171"/>
  <c r="K57" i="171"/>
  <c r="J57" i="171"/>
  <c r="I57" i="171"/>
  <c r="H57" i="171"/>
  <c r="G57" i="171"/>
  <c r="F57" i="171"/>
  <c r="E57" i="171"/>
  <c r="D57" i="171"/>
  <c r="R56" i="171"/>
  <c r="Q56" i="171"/>
  <c r="P56" i="171"/>
  <c r="O56" i="171"/>
  <c r="N56" i="171"/>
  <c r="M56" i="171"/>
  <c r="L56" i="171"/>
  <c r="K56" i="171"/>
  <c r="J56" i="171"/>
  <c r="I56" i="171"/>
  <c r="H56" i="171"/>
  <c r="G56" i="171"/>
  <c r="F56" i="171"/>
  <c r="E56" i="171"/>
  <c r="D56" i="171"/>
  <c r="R55" i="171"/>
  <c r="Q55" i="171"/>
  <c r="P55" i="171"/>
  <c r="O55" i="171"/>
  <c r="N55" i="171"/>
  <c r="M55" i="171"/>
  <c r="L55" i="171"/>
  <c r="K55" i="171"/>
  <c r="J55" i="171"/>
  <c r="I55" i="171"/>
  <c r="H55" i="171"/>
  <c r="G55" i="171"/>
  <c r="F55" i="171"/>
  <c r="E55" i="171"/>
  <c r="D55" i="171"/>
  <c r="R54" i="171"/>
  <c r="Q54" i="171"/>
  <c r="P54" i="171"/>
  <c r="O54" i="171"/>
  <c r="N54" i="171"/>
  <c r="M54" i="171"/>
  <c r="L54" i="171"/>
  <c r="K54" i="171"/>
  <c r="J54" i="171"/>
  <c r="I54" i="171"/>
  <c r="H54" i="171"/>
  <c r="G54" i="171"/>
  <c r="F54" i="171"/>
  <c r="E54" i="171"/>
  <c r="D54" i="171"/>
  <c r="R51" i="171"/>
  <c r="Q51" i="171"/>
  <c r="P51" i="171"/>
  <c r="O51" i="171"/>
  <c r="N51" i="171"/>
  <c r="M51" i="171"/>
  <c r="L51" i="171"/>
  <c r="K51" i="171"/>
  <c r="J51" i="171"/>
  <c r="I51" i="171"/>
  <c r="H51" i="171"/>
  <c r="G51" i="171"/>
  <c r="F51" i="171"/>
  <c r="E51" i="171"/>
  <c r="D51" i="171"/>
  <c r="R50" i="171"/>
  <c r="Q50" i="171"/>
  <c r="P50" i="171"/>
  <c r="O50" i="171"/>
  <c r="N50" i="171"/>
  <c r="M50" i="171"/>
  <c r="L50" i="171"/>
  <c r="K50" i="171"/>
  <c r="J50" i="171"/>
  <c r="I50" i="171"/>
  <c r="H50" i="171"/>
  <c r="G50" i="171"/>
  <c r="F50" i="171"/>
  <c r="E50" i="171"/>
  <c r="D50" i="171"/>
  <c r="R49" i="171"/>
  <c r="Q49" i="171"/>
  <c r="P49" i="171"/>
  <c r="O49" i="171"/>
  <c r="N49" i="171"/>
  <c r="M49" i="171"/>
  <c r="L49" i="171"/>
  <c r="K49" i="171"/>
  <c r="J49" i="171"/>
  <c r="I49" i="171"/>
  <c r="H49" i="171"/>
  <c r="G49" i="171"/>
  <c r="F49" i="171"/>
  <c r="E49" i="171"/>
  <c r="D49" i="171"/>
  <c r="R48" i="171"/>
  <c r="Q48" i="171"/>
  <c r="P48" i="171"/>
  <c r="O48" i="171"/>
  <c r="N48" i="171"/>
  <c r="M48" i="171"/>
  <c r="L48" i="171"/>
  <c r="K48" i="171"/>
  <c r="J48" i="171"/>
  <c r="I48" i="171"/>
  <c r="H48" i="171"/>
  <c r="G48" i="171"/>
  <c r="F48" i="171"/>
  <c r="E48" i="171"/>
  <c r="D48" i="171"/>
  <c r="R47" i="171"/>
  <c r="Q47" i="171"/>
  <c r="P47" i="171"/>
  <c r="O47" i="171"/>
  <c r="N47" i="171"/>
  <c r="M47" i="171"/>
  <c r="L47" i="171"/>
  <c r="K47" i="171"/>
  <c r="J47" i="171"/>
  <c r="I47" i="171"/>
  <c r="H47" i="171"/>
  <c r="G47" i="171"/>
  <c r="F47" i="171"/>
  <c r="E47" i="171"/>
  <c r="D47" i="171"/>
  <c r="R46" i="171"/>
  <c r="Q46" i="171"/>
  <c r="P46" i="171"/>
  <c r="O46" i="171"/>
  <c r="N46" i="171"/>
  <c r="M46" i="171"/>
  <c r="L46" i="171"/>
  <c r="K46" i="171"/>
  <c r="J46" i="171"/>
  <c r="I46" i="171"/>
  <c r="H46" i="171"/>
  <c r="G46" i="171"/>
  <c r="F46" i="171"/>
  <c r="E46" i="171"/>
  <c r="D46" i="171"/>
  <c r="R45" i="171"/>
  <c r="Q45" i="171"/>
  <c r="P45" i="171"/>
  <c r="O45" i="171"/>
  <c r="N45" i="171"/>
  <c r="M45" i="171"/>
  <c r="L45" i="171"/>
  <c r="K45" i="171"/>
  <c r="J45" i="171"/>
  <c r="I45" i="171"/>
  <c r="H45" i="171"/>
  <c r="G45" i="171"/>
  <c r="F45" i="171"/>
  <c r="E45" i="171"/>
  <c r="D45" i="171"/>
  <c r="R44" i="171"/>
  <c r="Q44" i="171"/>
  <c r="P44" i="171"/>
  <c r="O44" i="171"/>
  <c r="N44" i="171"/>
  <c r="M44" i="171"/>
  <c r="L44" i="171"/>
  <c r="K44" i="171"/>
  <c r="J44" i="171"/>
  <c r="I44" i="171"/>
  <c r="H44" i="171"/>
  <c r="G44" i="171"/>
  <c r="F44" i="171"/>
  <c r="E44" i="171"/>
  <c r="D44" i="171"/>
  <c r="R43" i="171"/>
  <c r="Q43" i="171"/>
  <c r="P43" i="171"/>
  <c r="O43" i="171"/>
  <c r="N43" i="171"/>
  <c r="M43" i="171"/>
  <c r="L43" i="171"/>
  <c r="K43" i="171"/>
  <c r="J43" i="171"/>
  <c r="I43" i="171"/>
  <c r="H43" i="171"/>
  <c r="G43" i="171"/>
  <c r="F43" i="171"/>
  <c r="E43" i="171"/>
  <c r="D43" i="171"/>
  <c r="R42" i="171"/>
  <c r="Q42" i="171"/>
  <c r="P42" i="171"/>
  <c r="O42" i="171"/>
  <c r="N42" i="171"/>
  <c r="M42" i="171"/>
  <c r="L42" i="171"/>
  <c r="K42" i="171"/>
  <c r="J42" i="171"/>
  <c r="I42" i="171"/>
  <c r="H42" i="171"/>
  <c r="G42" i="171"/>
  <c r="F42" i="171"/>
  <c r="E42" i="171"/>
  <c r="D42" i="171"/>
  <c r="R41" i="171"/>
  <c r="Q41" i="171"/>
  <c r="P41" i="171"/>
  <c r="O41" i="171"/>
  <c r="N41" i="171"/>
  <c r="M41" i="171"/>
  <c r="L41" i="171"/>
  <c r="K41" i="171"/>
  <c r="J41" i="171"/>
  <c r="I41" i="171"/>
  <c r="H41" i="171"/>
  <c r="G41" i="171"/>
  <c r="F41" i="171"/>
  <c r="E41" i="171"/>
  <c r="D41" i="171"/>
  <c r="R40" i="171"/>
  <c r="Q40" i="171"/>
  <c r="P40" i="171"/>
  <c r="O40" i="171"/>
  <c r="N40" i="171"/>
  <c r="M40" i="171"/>
  <c r="L40" i="171"/>
  <c r="K40" i="171"/>
  <c r="J40" i="171"/>
  <c r="I40" i="171"/>
  <c r="H40" i="171"/>
  <c r="G40" i="171"/>
  <c r="F40" i="171"/>
  <c r="E40" i="171"/>
  <c r="D40" i="171"/>
  <c r="R39" i="171"/>
  <c r="Q39" i="171"/>
  <c r="P39" i="171"/>
  <c r="O39" i="171"/>
  <c r="N39" i="171"/>
  <c r="M39" i="171"/>
  <c r="L39" i="171"/>
  <c r="K39" i="171"/>
  <c r="J39" i="171"/>
  <c r="I39" i="171"/>
  <c r="H39" i="171"/>
  <c r="G39" i="171"/>
  <c r="F39" i="171"/>
  <c r="E39" i="171"/>
  <c r="D39" i="171"/>
  <c r="R38" i="171"/>
  <c r="Q38" i="171"/>
  <c r="P38" i="171"/>
  <c r="O38" i="171"/>
  <c r="N38" i="171"/>
  <c r="M38" i="171"/>
  <c r="L38" i="171"/>
  <c r="K38" i="171"/>
  <c r="J38" i="171"/>
  <c r="I38" i="171"/>
  <c r="H38" i="171"/>
  <c r="G38" i="171"/>
  <c r="F38" i="171"/>
  <c r="E38" i="171"/>
  <c r="D38" i="171"/>
  <c r="R37" i="171"/>
  <c r="Q37" i="171"/>
  <c r="P37" i="171"/>
  <c r="O37" i="171"/>
  <c r="N37" i="171"/>
  <c r="M37" i="171"/>
  <c r="L37" i="171"/>
  <c r="K37" i="171"/>
  <c r="J37" i="171"/>
  <c r="I37" i="171"/>
  <c r="H37" i="171"/>
  <c r="G37" i="171"/>
  <c r="F37" i="171"/>
  <c r="E37" i="171"/>
  <c r="D37" i="171"/>
  <c r="R36" i="171"/>
  <c r="Q36" i="171"/>
  <c r="P36" i="171"/>
  <c r="O36" i="171"/>
  <c r="N36" i="171"/>
  <c r="M36" i="171"/>
  <c r="L36" i="171"/>
  <c r="K36" i="171"/>
  <c r="J36" i="171"/>
  <c r="I36" i="171"/>
  <c r="H36" i="171"/>
  <c r="G36" i="171"/>
  <c r="F36" i="171"/>
  <c r="E36" i="171"/>
  <c r="D36" i="171"/>
  <c r="R35" i="171"/>
  <c r="Q35" i="171"/>
  <c r="P35" i="171"/>
  <c r="O35" i="171"/>
  <c r="N35" i="171"/>
  <c r="M35" i="171"/>
  <c r="L35" i="171"/>
  <c r="K35" i="171"/>
  <c r="J35" i="171"/>
  <c r="I35" i="171"/>
  <c r="H35" i="171"/>
  <c r="G35" i="171"/>
  <c r="F35" i="171"/>
  <c r="E35" i="171"/>
  <c r="D35" i="171"/>
  <c r="R34" i="171"/>
  <c r="Q34" i="171"/>
  <c r="P34" i="171"/>
  <c r="O34" i="171"/>
  <c r="N34" i="171"/>
  <c r="M34" i="171"/>
  <c r="L34" i="171"/>
  <c r="K34" i="171"/>
  <c r="J34" i="171"/>
  <c r="I34" i="171"/>
  <c r="H34" i="171"/>
  <c r="G34" i="171"/>
  <c r="F34" i="171"/>
  <c r="E34" i="171"/>
  <c r="D34" i="171"/>
  <c r="R33" i="171"/>
  <c r="Q33" i="171"/>
  <c r="P33" i="171"/>
  <c r="O33" i="171"/>
  <c r="N33" i="171"/>
  <c r="M33" i="171"/>
  <c r="L33" i="171"/>
  <c r="K33" i="171"/>
  <c r="J33" i="171"/>
  <c r="I33" i="171"/>
  <c r="H33" i="171"/>
  <c r="G33" i="171"/>
  <c r="F33" i="171"/>
  <c r="E33" i="171"/>
  <c r="D33" i="171"/>
  <c r="R32" i="171"/>
  <c r="Q32" i="171"/>
  <c r="P32" i="171"/>
  <c r="O32" i="171"/>
  <c r="N32" i="171"/>
  <c r="M32" i="171"/>
  <c r="L32" i="171"/>
  <c r="K32" i="171"/>
  <c r="J32" i="171"/>
  <c r="I32" i="171"/>
  <c r="H32" i="171"/>
  <c r="G32" i="171"/>
  <c r="F32" i="171"/>
  <c r="E32" i="171"/>
  <c r="D32" i="171"/>
  <c r="R31" i="171"/>
  <c r="Q31" i="171"/>
  <c r="P31" i="171"/>
  <c r="O31" i="171"/>
  <c r="N31" i="171"/>
  <c r="M31" i="171"/>
  <c r="L31" i="171"/>
  <c r="K31" i="171"/>
  <c r="J31" i="171"/>
  <c r="I31" i="171"/>
  <c r="H31" i="171"/>
  <c r="G31" i="171"/>
  <c r="F31" i="171"/>
  <c r="E31" i="171"/>
  <c r="D31" i="171"/>
  <c r="R30" i="171"/>
  <c r="Q30" i="171"/>
  <c r="P30" i="171"/>
  <c r="O30" i="171"/>
  <c r="N30" i="171"/>
  <c r="M30" i="171"/>
  <c r="L30" i="171"/>
  <c r="K30" i="171"/>
  <c r="J30" i="171"/>
  <c r="I30" i="171"/>
  <c r="H30" i="171"/>
  <c r="G30" i="171"/>
  <c r="F30" i="171"/>
  <c r="E30" i="171"/>
  <c r="D30" i="171"/>
  <c r="R29" i="171"/>
  <c r="Q29" i="171"/>
  <c r="P29" i="171"/>
  <c r="O29" i="171"/>
  <c r="N29" i="171"/>
  <c r="M29" i="171"/>
  <c r="L29" i="171"/>
  <c r="K29" i="171"/>
  <c r="J29" i="171"/>
  <c r="I29" i="171"/>
  <c r="H29" i="171"/>
  <c r="G29" i="171"/>
  <c r="F29" i="171"/>
  <c r="E29" i="171"/>
  <c r="D29" i="171"/>
  <c r="R28" i="171"/>
  <c r="Q28" i="171"/>
  <c r="P28" i="171"/>
  <c r="O28" i="171"/>
  <c r="N28" i="171"/>
  <c r="M28" i="171"/>
  <c r="L28" i="171"/>
  <c r="K28" i="171"/>
  <c r="J28" i="171"/>
  <c r="I28" i="171"/>
  <c r="H28" i="171"/>
  <c r="G28" i="171"/>
  <c r="F28" i="171"/>
  <c r="E28" i="171"/>
  <c r="D28" i="171"/>
  <c r="R27" i="171"/>
  <c r="Q27" i="171"/>
  <c r="P27" i="171"/>
  <c r="O27" i="171"/>
  <c r="N27" i="171"/>
  <c r="M27" i="171"/>
  <c r="L27" i="171"/>
  <c r="K27" i="171"/>
  <c r="J27" i="171"/>
  <c r="I27" i="171"/>
  <c r="H27" i="171"/>
  <c r="G27" i="171"/>
  <c r="F27" i="171"/>
  <c r="E27" i="171"/>
  <c r="D27" i="171"/>
  <c r="R26" i="171"/>
  <c r="Q26" i="171"/>
  <c r="P26" i="171"/>
  <c r="O26" i="171"/>
  <c r="N26" i="171"/>
  <c r="M26" i="171"/>
  <c r="L26" i="171"/>
  <c r="K26" i="171"/>
  <c r="J26" i="171"/>
  <c r="I26" i="171"/>
  <c r="H26" i="171"/>
  <c r="G26" i="171"/>
  <c r="F26" i="171"/>
  <c r="E26" i="171"/>
  <c r="D26" i="171"/>
  <c r="R25" i="171"/>
  <c r="Q25" i="171"/>
  <c r="P25" i="171"/>
  <c r="O25" i="171"/>
  <c r="N25" i="171"/>
  <c r="M25" i="171"/>
  <c r="L25" i="171"/>
  <c r="K25" i="171"/>
  <c r="J25" i="171"/>
  <c r="I25" i="171"/>
  <c r="H25" i="171"/>
  <c r="G25" i="171"/>
  <c r="F25" i="171"/>
  <c r="E25" i="171"/>
  <c r="D25" i="171"/>
  <c r="R24" i="171"/>
  <c r="Q24" i="171"/>
  <c r="P24" i="171"/>
  <c r="O24" i="171"/>
  <c r="N24" i="171"/>
  <c r="M24" i="171"/>
  <c r="L24" i="171"/>
  <c r="K24" i="171"/>
  <c r="J24" i="171"/>
  <c r="I24" i="171"/>
  <c r="H24" i="171"/>
  <c r="G24" i="171"/>
  <c r="F24" i="171"/>
  <c r="E24" i="171"/>
  <c r="D24" i="171"/>
  <c r="R23" i="171"/>
  <c r="Q23" i="171"/>
  <c r="P23" i="171"/>
  <c r="O23" i="171"/>
  <c r="N23" i="171"/>
  <c r="M23" i="171"/>
  <c r="L23" i="171"/>
  <c r="K23" i="171"/>
  <c r="J23" i="171"/>
  <c r="I23" i="171"/>
  <c r="H23" i="171"/>
  <c r="G23" i="171"/>
  <c r="F23" i="171"/>
  <c r="E23" i="171"/>
  <c r="D23" i="171"/>
  <c r="R22" i="171"/>
  <c r="Q22" i="171"/>
  <c r="P22" i="171"/>
  <c r="O22" i="171"/>
  <c r="N22" i="171"/>
  <c r="M22" i="171"/>
  <c r="L22" i="171"/>
  <c r="K22" i="171"/>
  <c r="J22" i="171"/>
  <c r="I22" i="171"/>
  <c r="H22" i="171"/>
  <c r="G22" i="171"/>
  <c r="F22" i="171"/>
  <c r="E22" i="171"/>
  <c r="D22" i="171"/>
  <c r="R21" i="171"/>
  <c r="Q21" i="171"/>
  <c r="P21" i="171"/>
  <c r="O21" i="171"/>
  <c r="N21" i="171"/>
  <c r="M21" i="171"/>
  <c r="L21" i="171"/>
  <c r="K21" i="171"/>
  <c r="J21" i="171"/>
  <c r="I21" i="171"/>
  <c r="H21" i="171"/>
  <c r="G21" i="171"/>
  <c r="F21" i="171"/>
  <c r="E21" i="171"/>
  <c r="D21" i="171"/>
  <c r="R20" i="171"/>
  <c r="Q20" i="171"/>
  <c r="P20" i="171"/>
  <c r="O20" i="171"/>
  <c r="N20" i="171"/>
  <c r="M20" i="171"/>
  <c r="L20" i="171"/>
  <c r="K20" i="171"/>
  <c r="J20" i="171"/>
  <c r="I20" i="171"/>
  <c r="H20" i="171"/>
  <c r="G20" i="171"/>
  <c r="F20" i="171"/>
  <c r="E20" i="171"/>
  <c r="D20" i="171"/>
  <c r="R19" i="171"/>
  <c r="Q19" i="171"/>
  <c r="P19" i="171"/>
  <c r="O19" i="171"/>
  <c r="N19" i="171"/>
  <c r="M19" i="171"/>
  <c r="L19" i="171"/>
  <c r="K19" i="171"/>
  <c r="J19" i="171"/>
  <c r="I19" i="171"/>
  <c r="H19" i="171"/>
  <c r="G19" i="171"/>
  <c r="F19" i="171"/>
  <c r="E19" i="171"/>
  <c r="D19" i="171"/>
  <c r="R18" i="171"/>
  <c r="Q18" i="171"/>
  <c r="P18" i="171"/>
  <c r="O18" i="171"/>
  <c r="N18" i="171"/>
  <c r="M18" i="171"/>
  <c r="L18" i="171"/>
  <c r="K18" i="171"/>
  <c r="J18" i="171"/>
  <c r="I18" i="171"/>
  <c r="H18" i="171"/>
  <c r="G18" i="171"/>
  <c r="F18" i="171"/>
  <c r="E18" i="171"/>
  <c r="D18" i="171"/>
  <c r="R17" i="171"/>
  <c r="Q17" i="171"/>
  <c r="P17" i="171"/>
  <c r="O17" i="171"/>
  <c r="N17" i="171"/>
  <c r="M17" i="171"/>
  <c r="L17" i="171"/>
  <c r="K17" i="171"/>
  <c r="J17" i="171"/>
  <c r="I17" i="171"/>
  <c r="H17" i="171"/>
  <c r="G17" i="171"/>
  <c r="F17" i="171"/>
  <c r="E17" i="171"/>
  <c r="D17" i="171"/>
  <c r="R16" i="171"/>
  <c r="Q16" i="171"/>
  <c r="P16" i="171"/>
  <c r="O16" i="171"/>
  <c r="N16" i="171"/>
  <c r="M16" i="171"/>
  <c r="L16" i="171"/>
  <c r="K16" i="171"/>
  <c r="J16" i="171"/>
  <c r="I16" i="171"/>
  <c r="H16" i="171"/>
  <c r="G16" i="171"/>
  <c r="F16" i="171"/>
  <c r="E16" i="171"/>
  <c r="D16" i="171"/>
  <c r="D13" i="171"/>
  <c r="D12" i="171"/>
  <c r="D11" i="171"/>
  <c r="D108" i="170"/>
  <c r="F69" i="77"/>
  <c r="F42" i="77"/>
  <c r="I51" i="77"/>
  <c r="J51" i="77"/>
  <c r="K51" i="77"/>
  <c r="L51" i="77"/>
  <c r="M51" i="77"/>
  <c r="H51" i="77"/>
  <c r="G51" i="77"/>
  <c r="R64" i="77"/>
  <c r="R66" i="77"/>
  <c r="Q69" i="77"/>
  <c r="O28" i="77"/>
  <c r="E28" i="77"/>
  <c r="F28" i="77"/>
  <c r="D28" i="77"/>
  <c r="R67" i="77"/>
  <c r="Q67" i="77"/>
  <c r="Q66" i="77"/>
  <c r="Q64" i="77"/>
  <c r="P66" i="77"/>
  <c r="E64" i="77"/>
  <c r="F64" i="77"/>
  <c r="G30" i="77"/>
  <c r="E33" i="77"/>
  <c r="F33" i="77"/>
  <c r="D33" i="77"/>
  <c r="E50" i="77"/>
  <c r="D50" i="77"/>
  <c r="F50" i="77"/>
  <c r="O66" i="77"/>
  <c r="E67" i="77"/>
  <c r="E66" i="77"/>
  <c r="O21" i="77"/>
  <c r="R16" i="77"/>
  <c r="D38" i="77"/>
  <c r="D37" i="77"/>
  <c r="E37" i="77"/>
  <c r="F37" i="77"/>
  <c r="E38" i="77"/>
  <c r="F38" i="77"/>
  <c r="D13" i="77"/>
  <c r="G16" i="77"/>
  <c r="H16" i="77"/>
  <c r="I16" i="77"/>
  <c r="J16" i="77"/>
  <c r="K16" i="77"/>
  <c r="L16" i="77"/>
  <c r="M16" i="77"/>
  <c r="N16" i="77"/>
  <c r="O16" i="77"/>
  <c r="P16" i="77"/>
  <c r="Q16" i="77"/>
  <c r="D17" i="77"/>
  <c r="E17" i="77"/>
  <c r="D18" i="77"/>
  <c r="E18" i="77"/>
  <c r="D19" i="77"/>
  <c r="E19" i="77"/>
  <c r="D20" i="77"/>
  <c r="E20" i="77"/>
  <c r="F20" i="77"/>
  <c r="D21" i="77"/>
  <c r="E21" i="77"/>
  <c r="G22" i="77"/>
  <c r="D22" i="77"/>
  <c r="H22" i="77"/>
  <c r="I22" i="77"/>
  <c r="J22" i="77"/>
  <c r="K22" i="77"/>
  <c r="L22" i="77"/>
  <c r="G23" i="77"/>
  <c r="D23" i="77"/>
  <c r="H23" i="77"/>
  <c r="J23" i="77"/>
  <c r="K23" i="77"/>
  <c r="G24" i="77"/>
  <c r="D24" i="77"/>
  <c r="H24" i="77"/>
  <c r="J24" i="77"/>
  <c r="K24" i="77"/>
  <c r="D25" i="77"/>
  <c r="E25" i="77"/>
  <c r="D26" i="77"/>
  <c r="E26" i="77"/>
  <c r="D27" i="77"/>
  <c r="E27" i="77"/>
  <c r="D29" i="77"/>
  <c r="H30" i="77"/>
  <c r="I30" i="77"/>
  <c r="J30" i="77"/>
  <c r="K30" i="77"/>
  <c r="L30" i="77"/>
  <c r="M30" i="77"/>
  <c r="N30" i="77"/>
  <c r="D30" i="77"/>
  <c r="D51" i="77"/>
  <c r="O30" i="77"/>
  <c r="P30" i="77"/>
  <c r="Q30" i="77"/>
  <c r="R30" i="77"/>
  <c r="D31" i="77"/>
  <c r="E31" i="77"/>
  <c r="D32" i="77"/>
  <c r="E32" i="77"/>
  <c r="F32" i="77"/>
  <c r="D34" i="77"/>
  <c r="E34" i="77"/>
  <c r="F34" i="77"/>
  <c r="D35" i="77"/>
  <c r="E35" i="77"/>
  <c r="F35" i="77"/>
  <c r="D36" i="77"/>
  <c r="D41" i="77"/>
  <c r="E41" i="77"/>
  <c r="D42" i="77"/>
  <c r="E42" i="77"/>
  <c r="D43" i="77"/>
  <c r="E43" i="77"/>
  <c r="F43" i="77"/>
  <c r="D44" i="77"/>
  <c r="E44" i="77"/>
  <c r="D45" i="77"/>
  <c r="E45" i="77"/>
  <c r="F45" i="77"/>
  <c r="D46" i="77"/>
  <c r="E46" i="77"/>
  <c r="D47" i="77"/>
  <c r="E47" i="77"/>
  <c r="D48" i="77"/>
  <c r="E48" i="77"/>
  <c r="D49" i="77"/>
  <c r="E49" i="77"/>
  <c r="M49" i="77"/>
  <c r="F54" i="77"/>
  <c r="G54" i="77"/>
  <c r="G59" i="77"/>
  <c r="H54" i="77"/>
  <c r="H59" i="77"/>
  <c r="I54" i="77"/>
  <c r="I59" i="77"/>
  <c r="J54" i="77"/>
  <c r="J59" i="77"/>
  <c r="K54" i="77"/>
  <c r="K59" i="77"/>
  <c r="L54" i="77"/>
  <c r="L59" i="77"/>
  <c r="M54" i="77"/>
  <c r="M59" i="77"/>
  <c r="N54" i="77"/>
  <c r="N59" i="77"/>
  <c r="O54" i="77"/>
  <c r="D55" i="77"/>
  <c r="E55" i="77"/>
  <c r="D56" i="77"/>
  <c r="D57" i="77"/>
  <c r="O57" i="77"/>
  <c r="E57" i="77"/>
  <c r="D58" i="77"/>
  <c r="E58" i="77"/>
  <c r="F63" i="77"/>
  <c r="G63" i="77"/>
  <c r="G69" i="77"/>
  <c r="H63" i="77"/>
  <c r="H69" i="77"/>
  <c r="I63" i="77"/>
  <c r="I69" i="77"/>
  <c r="J63" i="77"/>
  <c r="J69" i="77"/>
  <c r="K63" i="77"/>
  <c r="K69" i="77"/>
  <c r="L63" i="77"/>
  <c r="L69" i="77"/>
  <c r="M63" i="77"/>
  <c r="M69" i="77"/>
  <c r="N63" i="77"/>
  <c r="N69" i="77"/>
  <c r="O63" i="77"/>
  <c r="O69" i="77"/>
  <c r="P63" i="77"/>
  <c r="P69" i="77"/>
  <c r="Q63" i="77"/>
  <c r="R63" i="77"/>
  <c r="R69" i="77"/>
  <c r="D64" i="77"/>
  <c r="M64" i="77"/>
  <c r="D65" i="77"/>
  <c r="E65" i="77"/>
  <c r="F65" i="77"/>
  <c r="D66" i="77"/>
  <c r="D67" i="77"/>
  <c r="D68" i="77"/>
  <c r="E68" i="77"/>
  <c r="F68" i="77"/>
  <c r="E56" i="77"/>
  <c r="D40" i="77"/>
  <c r="D39" i="77"/>
  <c r="E39" i="77"/>
  <c r="E40" i="77"/>
  <c r="E29" i="77"/>
  <c r="F29" i="77"/>
  <c r="E24" i="77"/>
  <c r="F24" i="77"/>
  <c r="E23" i="77"/>
  <c r="E22" i="77"/>
  <c r="E36" i="77"/>
  <c r="F47" i="77"/>
  <c r="F67" i="77"/>
  <c r="F57" i="77"/>
  <c r="O59" i="77"/>
  <c r="P54" i="77"/>
  <c r="P59" i="77"/>
  <c r="Q54" i="77"/>
  <c r="Q59" i="77"/>
  <c r="R54" i="77"/>
  <c r="R59" i="77"/>
  <c r="F19" i="77"/>
  <c r="F40" i="77"/>
  <c r="D59" i="77"/>
  <c r="E54" i="77"/>
  <c r="E59" i="77"/>
  <c r="F36" i="77"/>
  <c r="F27" i="77"/>
  <c r="F25" i="77"/>
  <c r="F66" i="77"/>
  <c r="F58" i="77"/>
  <c r="F55" i="77"/>
  <c r="F48" i="77"/>
  <c r="F46" i="77"/>
  <c r="F26" i="77"/>
  <c r="F49" i="77"/>
  <c r="F17" i="77"/>
  <c r="F39" i="77"/>
  <c r="D69" i="77"/>
  <c r="E63" i="77"/>
  <c r="E16" i="77"/>
  <c r="F41" i="77"/>
  <c r="F21" i="77"/>
  <c r="F18" i="77"/>
  <c r="F56" i="77"/>
  <c r="F22" i="77"/>
  <c r="D16" i="77"/>
  <c r="F16" i="77"/>
  <c r="F44" i="77"/>
  <c r="F23" i="77"/>
  <c r="F59" i="77"/>
  <c r="E69" i="77"/>
  <c r="F31" i="77"/>
  <c r="N51" i="77"/>
  <c r="O51" i="77"/>
  <c r="P51" i="77"/>
  <c r="Q51" i="77"/>
  <c r="R51" i="77"/>
  <c r="E30" i="77"/>
  <c r="F30" i="77"/>
  <c r="F51" i="77"/>
  <c r="E51" i="77"/>
</calcChain>
</file>

<file path=xl/sharedStrings.xml><?xml version="1.0" encoding="utf-8"?>
<sst xmlns="http://schemas.openxmlformats.org/spreadsheetml/2006/main" count="356" uniqueCount="183">
  <si>
    <t>(+ / -) Custeio com COFINS</t>
  </si>
  <si>
    <t>(+ / -) Custeio com PASEP</t>
  </si>
  <si>
    <t>08</t>
  </si>
  <si>
    <t>Departamento de Administração de Capital de Giro - DFG</t>
  </si>
  <si>
    <t>11</t>
  </si>
  <si>
    <t>12</t>
  </si>
  <si>
    <t>Quotas Distribuidoras</t>
  </si>
  <si>
    <t>Quotas Transmissoras</t>
  </si>
  <si>
    <t>FLUXO PROINFA</t>
  </si>
  <si>
    <t>01</t>
  </si>
  <si>
    <t>02</t>
  </si>
  <si>
    <t>03</t>
  </si>
  <si>
    <t>04</t>
  </si>
  <si>
    <t>05</t>
  </si>
  <si>
    <t>06</t>
  </si>
  <si>
    <t>07</t>
  </si>
  <si>
    <t>09</t>
  </si>
  <si>
    <t>10</t>
  </si>
  <si>
    <t>(-) Custos Administrativos do Mês</t>
  </si>
  <si>
    <t xml:space="preserve">(-) Atualização Monetária Liquidação CCEE </t>
  </si>
  <si>
    <t>Em R$</t>
  </si>
  <si>
    <t>(+) Faturamento das Quotas do PROINFA</t>
  </si>
  <si>
    <t>(-) Energia Contratada</t>
  </si>
  <si>
    <t>(-) Contribuição Anual a CCEE</t>
  </si>
  <si>
    <t>Descrição</t>
  </si>
  <si>
    <t>PCH</t>
  </si>
  <si>
    <t>Diretoria Financeira - DF</t>
  </si>
  <si>
    <t>13</t>
  </si>
  <si>
    <t>14</t>
  </si>
  <si>
    <t>Quotas Cooperativas</t>
  </si>
  <si>
    <t>15</t>
  </si>
  <si>
    <t>(-) Despesas Bancárias</t>
  </si>
  <si>
    <t>16</t>
  </si>
  <si>
    <t>17</t>
  </si>
  <si>
    <t>18</t>
  </si>
  <si>
    <t>19</t>
  </si>
  <si>
    <t>20</t>
  </si>
  <si>
    <t>21</t>
  </si>
  <si>
    <t xml:space="preserve">(+) Restituição de IR de Aplicação Financeira </t>
  </si>
  <si>
    <t>(+) Encargo de Segurança Energética</t>
  </si>
  <si>
    <t>22</t>
  </si>
  <si>
    <t>23</t>
  </si>
  <si>
    <t>(-) Despesa de Recontabilização</t>
  </si>
  <si>
    <t>(+/-) Rendimento Bruto de Aplicação Financeira PROINFA</t>
  </si>
  <si>
    <t>(-) IOF de Aplicação Financeira PROINFA</t>
  </si>
  <si>
    <t>(-) IR de Aplicação Financeira PROINFA</t>
  </si>
  <si>
    <t>Notas Explicativas</t>
  </si>
  <si>
    <t xml:space="preserve">                                                                                                                                    SALDO  FINAL </t>
  </si>
  <si>
    <t>(+) Juros de Mora e Multa - Quotas PROINFA em atraso</t>
  </si>
  <si>
    <t xml:space="preserve">                           SALDO FINAL DOS RECURSOS DE MDL :</t>
  </si>
  <si>
    <t>(-) Despesa Extrajudicial</t>
  </si>
  <si>
    <t xml:space="preserve">                           SALDO FINAL DOS RECURSOS DA RESERVA DE GARANTIA :</t>
  </si>
  <si>
    <t>MDL</t>
  </si>
  <si>
    <t>RESERVA DE GARANTIA</t>
  </si>
  <si>
    <t>Divisão de contas a receber e Contas a Pagar - DFGC</t>
  </si>
  <si>
    <t>Posição em:</t>
  </si>
  <si>
    <t>(+) Atualização Monetária dos Encargo de Seg. Energética</t>
  </si>
  <si>
    <t xml:space="preserve">1a (-) Pagamentos Referentes aos Serviços do MDL </t>
  </si>
  <si>
    <t>2b (+) Rendimento Bruto da Aplicação da Reserva de Garantia</t>
  </si>
  <si>
    <t>2a (+) Rendimento Bruto da Aplicação em MDL no Período</t>
  </si>
  <si>
    <t>3a (-) IR SOBRE O RENDIMENTO BRUTO DA APLICAÇÃO DO MDL</t>
  </si>
  <si>
    <t>3b (-) IR SOBRE O RENDIMENTO BRUTO DA APLICAÇÃO DA RESERVA DE GARANTIA</t>
  </si>
  <si>
    <t>(-) Atualização Monetária do Custo Administrativo</t>
  </si>
  <si>
    <t>(+)   Juros  Remuneratórios dos Créditos Renegociados</t>
  </si>
  <si>
    <t>(+) Rendimentos dos aportes de Garantias (Bradesco)</t>
  </si>
  <si>
    <t>(+) Receita de Recontabilização</t>
  </si>
  <si>
    <t>* Ver notas explicativas</t>
  </si>
  <si>
    <t>Ajustes *</t>
  </si>
  <si>
    <t>1 Faturamento das Quotas do PROINFA</t>
  </si>
  <si>
    <t>2 Juros de Mora e Multa Quotas PROINFA</t>
  </si>
  <si>
    <t>5 IR de Aplicação Financeira PROINFA</t>
  </si>
  <si>
    <t>3 Juros Remuneratórios do Parcelamento</t>
  </si>
  <si>
    <t>6 IOF de Aplicação Financeira PROINFA</t>
  </si>
  <si>
    <t xml:space="preserve">7 Restituição de IR de Aplicação Financeira </t>
  </si>
  <si>
    <t xml:space="preserve">8 Encargo de Segurança Energética </t>
  </si>
  <si>
    <t>9 Atualização Monetária dos Encargos de Seg. Energética</t>
  </si>
  <si>
    <t>11 Energia Contratada</t>
  </si>
  <si>
    <t>12 Rendimentos dos aportes de Garantias Bradesco</t>
  </si>
  <si>
    <t xml:space="preserve">1a Pagamentos Referentes aos Serviços do MDL </t>
  </si>
  <si>
    <t>2b Rendimento Bruto da Aplicação da Reserva de Garantia</t>
  </si>
  <si>
    <t>Saldo em 31/12/2014</t>
  </si>
  <si>
    <t xml:space="preserve">Saldo de 31/12/2014 Ajustado </t>
  </si>
  <si>
    <t>FLUXO PROINFA -  2015</t>
  </si>
  <si>
    <t>VALORES REALIZADOS DE 
JAN A AGO/2015</t>
  </si>
  <si>
    <t>VALORES PREVISTOS DE 
SET A DEZ/2015</t>
  </si>
  <si>
    <t>Realizado JANEIRO/2015</t>
  </si>
  <si>
    <t>Realizado FEVEREIRO/2015</t>
  </si>
  <si>
    <t>Realizado MARÇO/2015</t>
  </si>
  <si>
    <t>Realizado ABRIL/2015</t>
  </si>
  <si>
    <t>Realizado MAIO/2015</t>
  </si>
  <si>
    <t>Realizado JUNHO/2015</t>
  </si>
  <si>
    <t>Realizado JULHO/2015</t>
  </si>
  <si>
    <t>Realizado AGOSTO/2015</t>
  </si>
  <si>
    <t>TOTAL DO PERÍODO DE   
JAN A DEZ/2015</t>
  </si>
  <si>
    <t>Ajustes no Saldo do Fluxo de 2014</t>
  </si>
  <si>
    <t>PAP 2015/2016</t>
  </si>
  <si>
    <t>Saldo Inicial dos Recursos Aplicados na Reserva de Garantia em 31/12/2014</t>
  </si>
  <si>
    <t>Saldo Inicial dos Recursos Aplicados em MDL em 31/12/2014</t>
  </si>
  <si>
    <t xml:space="preserve">(+ ) Receita Liquidação CCEE </t>
  </si>
  <si>
    <t xml:space="preserve">(-) Despesa Liquidação CCEE </t>
  </si>
  <si>
    <t>4a (-) IOF SOBRE O RENDIMENTO BRUTO DA APLICAÇÃO DO MDL</t>
  </si>
  <si>
    <t>4b (-) IOF SOBRE O RENDIMENTO BRUTO DA APLICAÇÃO DA RESERVA DE GARANTIA</t>
  </si>
  <si>
    <t>(-) Depósito em Garantia</t>
  </si>
  <si>
    <t>PCH-MRE</t>
  </si>
  <si>
    <t>BIOMASSA</t>
  </si>
  <si>
    <t>EÓLICA</t>
  </si>
  <si>
    <t>Sem ajustes</t>
  </si>
  <si>
    <t>1b1 (+) Devolução do uso da Reserva de Garantia</t>
  </si>
  <si>
    <t>1b (-) Pagamentos e Uso Referente a Reserva da Garantia</t>
  </si>
  <si>
    <t>Os contratos de renegociação Proinfa com as empresas do Grupo Energisa CAIUÁ, EEB,  EDEVP e CNEE foram quitados antecipadamente de 10.08.2015 para 10.06.2015 em função do término da concessão. O cotrato da CEMAT e CELTINS foram quitados no último vencimento, qual seja, em 10.08.2015.</t>
  </si>
  <si>
    <t>24</t>
  </si>
  <si>
    <t>25</t>
  </si>
  <si>
    <t>(-) IR de Aplicação Financeira Bradesco Garantia</t>
  </si>
  <si>
    <t>(-) IOF de Aplicação Financeira Bradesco Garantia</t>
  </si>
  <si>
    <t>13  IR dos aportes de Garantias Bradesco</t>
  </si>
  <si>
    <t>14 IOF dos aportes de Garantias Bradesco</t>
  </si>
  <si>
    <t>15 Custeio com COFINS</t>
  </si>
  <si>
    <t>16 Custeio com PASEP</t>
  </si>
  <si>
    <t>17 Contribuição Anual a CCEE</t>
  </si>
  <si>
    <t>10 Receita Liquidação CCEE
      Despesa Liquidação CCEE</t>
  </si>
  <si>
    <t>18 Custo Administrativo</t>
  </si>
  <si>
    <t>19 Atualização Monetária do Custo Administrativo</t>
  </si>
  <si>
    <t>20 Despesa de Recontabilização</t>
  </si>
  <si>
    <t>21 Receita de Recontabilização</t>
  </si>
  <si>
    <t xml:space="preserve">22 Atualização Monetária Liquidação CCEE </t>
  </si>
  <si>
    <t>23 Depósito em Garantia</t>
  </si>
  <si>
    <t>24 Despesas Bancárias</t>
  </si>
  <si>
    <t>25 Despesa Extrajudicial</t>
  </si>
  <si>
    <t>CELPA - Plano de Recuperação Judicial desde SET/2012</t>
  </si>
  <si>
    <t>CELG - Renegociação da Dívida deste JUN/2012</t>
  </si>
  <si>
    <t>Não houve.</t>
  </si>
  <si>
    <t xml:space="preserve">Não houve. </t>
  </si>
  <si>
    <t>3a IR SOBRE O RENDIMENTO BRUTO DA APLICAÇÃO DO MDL</t>
  </si>
  <si>
    <t>4a IOF SOBRE O RENDIMENTO BRUTO DA APLICAÇÃO DO MDL</t>
  </si>
  <si>
    <t>3b IR SOBRE O RENDIMENTO BRUTO DA APLICAÇÃO DA RESERVA DE GARANTIA</t>
  </si>
  <si>
    <t>4b IOF SOBRE O RENDIMENTO BRUTO DA APLICAÇÃO DA RESERVA DE GARANTIA</t>
  </si>
  <si>
    <t>1b Pagamentos e Uso Referente a Reserva da Garantia</t>
  </si>
  <si>
    <t>1b1 Devolução do uso da Reserva de Garantia</t>
  </si>
  <si>
    <t>Atualmente só estão vigentes os contratos de renegociação/recuperação judicial respectivamente a CELG-D e a CELPA com atualização pela SELIC.</t>
  </si>
  <si>
    <t xml:space="preserve">Em maio ocorreu pagamento à CCEE no valor de R$ 6.938,31 referente a ressarcimento de custos relativos a despesas extrajudiciais devido ao desligamento de empresas  no âmbito da CCEE por descumprimento de obrigações regulatórias e estatutárias.
Em julho ocorreu pagamento no valor de R$ 406.919,04 referente restituição à BRASKEM de cobranças de encargos conforme determinado pelo DESPACHO ANEEL nº 180 de 27.01.2015, totalizando em 2015 R$ -R$ 413.857,65 referente a Despesas Extrajudiciais. </t>
  </si>
  <si>
    <t xml:space="preserve">Informações sobre Inadimplência: </t>
  </si>
  <si>
    <t>26</t>
  </si>
  <si>
    <t xml:space="preserve">(-) Provisão de Pagamento para Efeito de Portaria MME nº 267/2015 </t>
  </si>
  <si>
    <t>2a Rendimento Bruto da Aplicação em MDL no Período</t>
  </si>
  <si>
    <t>A partir de 25.09.2015 foram criadas contas contábeis específicas para o controle dos valores de IRRF e IOF incidentes nas aplicações financeiras no Bradesco (utilizada para a liquidação CCEE). Desta forma foi lançado em agosto/2015 o valor de IR -R$ 376.133,84  refererente aos valores relativos do período de agosto de 2014 até agosto de 2015 já foram reclassificados para as novas contas contábeis  na data-base 31/08/2015</t>
  </si>
  <si>
    <t>A partir de 25.09.2015 foram criadas contas contábeis específicas para o controle dos valores de IRRF e IOF incidentes nas aplicações financeiras no Bradesco (utilizada para a liquidação CCEE). Desta forma foi lançado em agosto/2015 o valor de IOF -R$ -1.099.625,35 refererente aos valores relativos do período de agosto de 2014 até agosto de 2015 já foram reclassificados para as novas contas contábeis  na data-base 31/08/2015</t>
  </si>
  <si>
    <t>Em consonância com o Parágrafo Único  do DECRETO Nº 5.025, DE 30 DE MARÇO DE 2004 : “Parágrafo Unico.  Para fazer face às necessidades de pagamentos aos empreendedores, o primeiro Plano Anual do PROINFA deverá prever, além das quotas do exercício, o recolhimento antecipado de um duodécimo da quota anual para o provisionamento inicial na Conta PROINFA, que será calculada considerando a contratação plena de todos os empreendimentos do PROINFA.” Desta forma a Reserva de Garantia vem sendo utilizada para pagamentos, bem como para cobrir despesas da CCEE.</t>
  </si>
  <si>
    <t xml:space="preserve">                                                                                         Diretoria Financeira - DF</t>
  </si>
  <si>
    <t xml:space="preserve">                                                                                         Departamento de Administração de Capital de Giro - DFG</t>
  </si>
  <si>
    <t xml:space="preserve">                                                                                         Divisão de Contas a Receber e Contas a Pagar - DFGC</t>
  </si>
  <si>
    <t>AJUSTE PCH-MRE</t>
  </si>
  <si>
    <t>Realizado SETEMBRO/2015</t>
  </si>
  <si>
    <t>Realizado OUTUBRO/2015</t>
  </si>
  <si>
    <t>Realizado NOVEMBRO/2015</t>
  </si>
  <si>
    <t>Realizado DEZEMBRO/2015</t>
  </si>
  <si>
    <t xml:space="preserve">O montante de R$ 2.685.562.300,68, refere-se ao Faturamento das Quotas do PROINFA  e teve como base  o somatório de todos os Despachos ANEEL referentes as quotas das concessionárias distribuidoras , transmissoras  e cooperativas do PROINFA realizadas no período de Janeiro  a  dezembro/2015.
</t>
  </si>
  <si>
    <t>O montante de R$2.689.147,89, refere-se aos juros de mora e multa das quotas do PROINFA pertinentes ao período de janeiro a dezembro/2015.</t>
  </si>
  <si>
    <r>
      <t>O montante de R$ 30.156.989,84</t>
    </r>
    <r>
      <rPr>
        <sz val="16"/>
        <color indexed="10"/>
        <rFont val="Calibri"/>
        <family val="2"/>
      </rPr>
      <t xml:space="preserve"> </t>
    </r>
    <r>
      <rPr>
        <sz val="16"/>
        <rFont val="Calibri"/>
        <family val="2"/>
      </rPr>
      <t>refere-se aos juros remuneratórios das quotas renegociadas do PROINFA pertinentes ao período realizado de janeiro a dezembro/2015.</t>
    </r>
  </si>
  <si>
    <r>
      <t xml:space="preserve">4 Rendimento Bruto de Aplicação Financeira PROINFA 
</t>
    </r>
    <r>
      <rPr>
        <sz val="16"/>
        <rFont val="Calibri"/>
        <family val="2"/>
      </rPr>
      <t xml:space="preserve">O montante de R$ 13.103.329,69 refere-se ao Rendimento Bruto de aplicações financeiras do Proinfa,  realizado para os meses de janeiro a dezembro/2015.
O rendimento de maio somente foi registrado no SAP no mês de junho/15, entretanto no Fluxo está lançado de acordo com o extrato. Não afetará o valor no ano.
O valor de Rend. Bruto do mês de maio, conste no extrato, somente foi lançado no SAP, pela contabilidade, em junho. O Fluxo está lançado de acordo com o extrato.
</t>
    </r>
  </si>
  <si>
    <t xml:space="preserve">O montante de -R$ 2.085.822,29 refere-se ao IR das aplicações financeiras do Proinfa,  realizado para os meses de janeiro a dezembro/2015.
</t>
  </si>
  <si>
    <t xml:space="preserve">O montante de -R$ 4.402.981,44 refere-se ao IR das aplicações financeiras do Proinfa,  realizado para os meses de janeiro a dezembro/2015.  
</t>
  </si>
  <si>
    <t xml:space="preserve">A apuração do montante de -R$ 339.374.399,28, referente à liquidação CCEE (receitas e despesas do Agente Proinfa) , foi obtida pelo somatório dos valores realizados  para o período de janeiro a dezembro/2015, pelo regime de competência. 
Historicamente a geração total das usinas do PROINFA é inferior aos valores contratados mensais. Pelas regras de mercado, essa exposição contratual mensal é adquirida no Mercado de Curto Prazo – MCP ao Preço de Liquidação de Diferenças – PLD, estando este último, associado às condições do sistema. Com o agravamento das condições hidrológicas do sistema em 2014, houve tanto um aumento significativo do PLD quanto uma diminuição da geração total do PROINFA (PCHs), justificando os débitos ocorridos em 2014. Em 2015, apesar da diminuição do PLD máximo, essa situação permaneceu sobretudo ao baixo GSF, fator que representa uma redução de garantia física face à geração total do sistema.
</t>
  </si>
  <si>
    <t xml:space="preserve">A partir de julho de 2014  a Eletrobras passou a aportar os valores de  garantia da Liquidação CCEE em conta do Bradesco. Esta rubrica registra os rendimentos gerados entre a data de aporte da garantia e a execução da liquidação, sendo este rendimento registrado, na contabilidade, mensalmente. O valor de R$ 1.832.438,21 refere-se aos rendimentos dos aportes de garantia realizados para os meses de janeiro a dezembro/2015. </t>
  </si>
  <si>
    <t>O valor de R$ 33.306.682,41  refere-se ao COFINS de janeiro a dezembro/2015. 
Houve alteração na legislação vigente originada no Decreto 8.426/2015, aplicável a partir de Julho de 2015, que acrescentou 4% sobre as receitas financeiras.</t>
  </si>
  <si>
    <t>O valor de R$ 7.311.475,00  refere-se ao PASEP de janeiro a dezembro/2015. 
Houve alteração na legislação vigente originada no Decreto 8.426/2015, aplicável a partir de Julho de 2015, que acrescentou 0,65%% sobre as receitas financeiras.</t>
  </si>
  <si>
    <t>O montante de (-R$ 1.141.572,32) refere-se ao total das contribuições à CCEE realizadas no exercício de 2015.</t>
  </si>
  <si>
    <t xml:space="preserve">O valor de -R$ 16.152.394,56 refere-se aos Custos Administrativos realizados de janeiro a dezembro/2015, foi calculado  com base  na média aritmética dos valores mensais dos custos administrativos apurados nos doze meses realizados do exercício de 2011, seguindo o critério adotado para o Fluxo de ITAIPU conforme determinação provisória da ANEEL  constante do Termo de Notificação nº 089/2011-SFF de 28/06/2011. </t>
  </si>
  <si>
    <t xml:space="preserve">* O montante de R$ 9.921.324,96 é referente à Garantia a Excecução de Título Extrajudicial com autor Econergia. 
* O montante de R$ 307.233.233,17 é referente à Garantia à Execução de Título Extrajudicial com o autor  ABRAGEL. Permanece o processo aguardando o trânsito em julgado do acórdão.
O valor continua depositado à disposição do Juízo, apesar do pedido de desistência, ainda não homologado, de mais de 32 das empresas autoras. Jurídico aguarda o trânsito em julgado para requerer o levantamento dos valor das empresas que desistiram do processo, bem como a remessa dos autos à Justiça Federal.
</t>
  </si>
  <si>
    <r>
      <t xml:space="preserve">26 Provisão de Pagamento para Efeito de Portaria MME nº 267/2015
</t>
    </r>
    <r>
      <rPr>
        <sz val="16"/>
        <rFont val="Calibri"/>
        <family val="2"/>
      </rPr>
      <t>Em 07 de agosto de 2015, o MME através da Portaria nº 267/2015 restabeleceu o novo montante de garantia física de energia de 16 PCHs contratadas pelo PROINFA após deferimento parcial de pedido de antecipação dos efeitos da tutela sob o rito ordinário nº 32752-20.2015.4.01.3400 na 1ª Vara Federal da Seção Judiciária do Distrito Federal do Tribunal Regional Federal da 1ª Região. 
Não mantido no Fluxo Realizado em função de não ter sido efetivado pagamento até 31.12.2016.</t>
    </r>
    <r>
      <rPr>
        <b/>
        <sz val="16"/>
        <rFont val="Calibri"/>
        <family val="2"/>
      </rPr>
      <t xml:space="preserve">
</t>
    </r>
  </si>
  <si>
    <t xml:space="preserve">Não foram verificados, no ano de 2015, pagamentos de MDL na conta contábil específica para esta rubrica. </t>
  </si>
  <si>
    <t>O montante de R$ 3.903.331,50 refere-se a atualização monetária dos recursos para MDL para o período de janeiro a dezembro/2015.</t>
  </si>
  <si>
    <t xml:space="preserve">O valor de - R$  755.108,39 refere-se ao IR da conta MDL realizado de janeiro a dezembro/2015. </t>
  </si>
  <si>
    <t>À medida que a conta corrente do Proinfa torna-se positiva o valor utilizado da Reserva de Garantia é devolvido atualizado por  igual período de utilização desses recursos.</t>
  </si>
  <si>
    <t>o valor de -R$ 7.352.942,35 refere-se ao IR Reserva de Garantia realizado de janeiro a dezembro/2015.</t>
  </si>
  <si>
    <t>o valor de -R$ 151.064,18 refere-se ao IOF realizado de janeiro a dezembro/2015.</t>
  </si>
  <si>
    <t>A inadinplência das Quotas Proinfa na data base de 31.12.2015 foi no valor de R$ 731.545,93 referente a Quota do Cliente Companhia de Eletricidade do Amapá - CEA com vencimento em 21.12.2015 tendo sido regularizado em 14.01.2016.</t>
  </si>
  <si>
    <t xml:space="preserve">                                                                                         FLUXO PROINFA -  2015</t>
  </si>
  <si>
    <t>O montante de -R$ 2.576.582.265,03, da parcela de desembolso com a Energia Contratada de Competência do ano de 2015, refere-se ao pagamento total que foi ou ainda será efetuado aos empreendimentos do PROINFA no período de 01 de janeiro de 2015 até 31 de dezembro de 2015.  Os valores calculados consideraram o produto da Energia Contratada de cada empreendimento pelos seus respectivos preços. A Energia Contratada anual foi dividida em 12 parcelas mensais e iguais, faturadas e/ou pagas a partir do mês de entrada de operação comercial, sendo que para o primeiro mês de operação foi considerado o rateio pelo n º de dias em operação.</t>
  </si>
  <si>
    <t>VALORES REALIZADOS DE 
SET A DEZ/2015</t>
  </si>
  <si>
    <t>Valor emprestado da Reserva de Garantia para a Conta Proinfa</t>
  </si>
  <si>
    <t xml:space="preserve">Total da Conta Corrente em 31/12/2015 considerando Reposição </t>
  </si>
  <si>
    <t>Saldo Conta Corrente Reserva de Garantia  em 31/12/2015</t>
  </si>
  <si>
    <r>
      <t xml:space="preserve">O valor de R$ 33.155.641,28 refere-se ao redimento bruto da Reserva de Garantia realizado de janeiro a dezembro/2015.
Informamos que o montante histórico de R$ 161.698.279,61, lançado no Fluxo 2006, referente à Reserva de Garantia,  conforme estabelecido no artigo n.º 16 da Resolução Normativa ANEEL n.º 127/2004, de 06/12/2004,  baseado no cálculo de um duodécimo da quota anual, para o provisionamento inicial na Conta PROINFA, face às necessidades de pagamentos aos empreendedores,  acrescido de seus rendimentos realizados acumulados até 31/12/2015, monta o valor de </t>
    </r>
    <r>
      <rPr>
        <b/>
        <sz val="16"/>
        <rFont val="Calibri"/>
        <family val="2"/>
      </rPr>
      <t xml:space="preserve">R$397.994.692,88, </t>
    </r>
    <r>
      <rPr>
        <sz val="16"/>
        <rFont val="Calibri"/>
        <family val="2"/>
      </rPr>
      <t>sendo referente ao valor de R$ 106.931.951,49 saldo da conta corrente da Reserva de Garantia acrescido do valor de R$ 291.062.741,39 referente ao reembolso da conta Proinfa a conta de Reserva de Garantia.</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</si>
</sst>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1" formatCode="_(* #,##0.00_);_(* \(#,##0.00\);_(* &quot;-&quot;??_);_(@_)"/>
    <numFmt numFmtId="176" formatCode="#,##0.00_)\ \ ;\(#,##0.00\)\ \ "/>
    <numFmt numFmtId="177" formatCode="\ \ @"/>
    <numFmt numFmtId="214" formatCode="#,##0.00_ ;[Red]\-#,##0.00\ "/>
    <numFmt numFmtId="215" formatCode="#,##0.00_ \ \ ;[Red]\-#,##0.00\ \ \ "/>
    <numFmt numFmtId="217" formatCode="&quot;R$&quot;\ #,##0.00"/>
  </numFmts>
  <fonts count="44" x14ac:knownFonts="1">
    <font>
      <sz val="10"/>
      <name val="Arial"/>
    </font>
    <font>
      <sz val="10"/>
      <name val="Arial"/>
    </font>
    <font>
      <sz val="12"/>
      <name val="Helv"/>
    </font>
    <font>
      <sz val="8"/>
      <name val="Arial"/>
      <family val="2"/>
    </font>
    <font>
      <b/>
      <sz val="12"/>
      <color indexed="18"/>
      <name val="Arial"/>
      <family val="2"/>
    </font>
    <font>
      <b/>
      <sz val="11"/>
      <name val="Arial"/>
      <family val="2"/>
    </font>
    <font>
      <b/>
      <sz val="10"/>
      <name val="Arial"/>
      <family val="2"/>
    </font>
    <font>
      <sz val="10"/>
      <name val="Arial"/>
      <family val="2"/>
    </font>
    <font>
      <b/>
      <sz val="11"/>
      <color indexed="18"/>
      <name val="Arial"/>
      <family val="2"/>
    </font>
    <font>
      <sz val="11"/>
      <color indexed="18"/>
      <name val="Arial"/>
      <family val="2"/>
    </font>
    <font>
      <b/>
      <u/>
      <sz val="14"/>
      <color indexed="18"/>
      <name val="Arial"/>
      <family val="2"/>
    </font>
    <font>
      <b/>
      <sz val="14"/>
      <color indexed="18"/>
      <name val="Arial"/>
      <family val="2"/>
    </font>
    <font>
      <b/>
      <sz val="12"/>
      <name val="Arial"/>
      <family val="2"/>
    </font>
    <font>
      <sz val="12"/>
      <name val="Arial"/>
      <family val="2"/>
    </font>
    <font>
      <sz val="12"/>
      <name val="Arial"/>
      <family val="2"/>
    </font>
    <font>
      <b/>
      <i/>
      <sz val="12"/>
      <color indexed="18"/>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6"/>
      <color indexed="18"/>
      <name val="Arial"/>
      <family val="2"/>
    </font>
    <font>
      <sz val="16"/>
      <name val="Arial"/>
      <family val="2"/>
    </font>
    <font>
      <b/>
      <sz val="16"/>
      <name val="Calibri"/>
      <family val="2"/>
    </font>
    <font>
      <sz val="16"/>
      <name val="Calibri"/>
      <family val="2"/>
    </font>
    <font>
      <b/>
      <sz val="18"/>
      <name val="Calibri"/>
      <family val="2"/>
    </font>
    <font>
      <b/>
      <sz val="20"/>
      <name val="Calibri"/>
      <family val="2"/>
    </font>
    <font>
      <sz val="16"/>
      <color indexed="10"/>
      <name val="Calibri"/>
      <family val="2"/>
    </font>
    <font>
      <sz val="14"/>
      <name val="Arial"/>
      <family val="2"/>
    </font>
    <font>
      <b/>
      <sz val="12"/>
      <color rgb="FF002060"/>
      <name val="Arial"/>
      <family val="2"/>
    </font>
    <font>
      <b/>
      <sz val="10"/>
      <color rgb="FFFF0000"/>
      <name val="Arial"/>
      <family val="2"/>
    </font>
    <font>
      <b/>
      <sz val="14"/>
      <color rgb="FF002060"/>
      <name val="Arial"/>
      <family val="2"/>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44"/>
        <bgColor indexed="64"/>
      </patternFill>
    </fill>
    <fill>
      <patternFill patternType="solid">
        <fgColor theme="0"/>
        <bgColor indexed="64"/>
      </patternFill>
    </fill>
    <fill>
      <patternFill patternType="solid">
        <fgColor theme="6" tint="0.59999389629810485"/>
        <bgColor indexed="64"/>
      </patternFill>
    </fill>
    <fill>
      <patternFill patternType="solid">
        <fgColor rgb="FFFFFF00"/>
        <bgColor indexed="64"/>
      </patternFill>
    </fill>
  </fills>
  <borders count="6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style="medium">
        <color indexed="64"/>
      </left>
      <right style="double">
        <color indexed="64"/>
      </right>
      <top style="double">
        <color indexed="64"/>
      </top>
      <bottom style="double">
        <color indexed="64"/>
      </bottom>
      <diagonal/>
    </border>
    <border>
      <left style="thin">
        <color indexed="64"/>
      </left>
      <right/>
      <top style="thin">
        <color indexed="64"/>
      </top>
      <bottom style="thin">
        <color indexed="64"/>
      </bottom>
      <diagonal/>
    </border>
    <border>
      <left style="double">
        <color indexed="64"/>
      </left>
      <right style="double">
        <color indexed="64"/>
      </right>
      <top style="medium">
        <color indexed="64"/>
      </top>
      <bottom style="medium">
        <color indexed="64"/>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double">
        <color indexed="64"/>
      </right>
      <top style="medium">
        <color indexed="64"/>
      </top>
      <bottom style="thin">
        <color indexed="64"/>
      </bottom>
      <diagonal/>
    </border>
    <border>
      <left style="double">
        <color indexed="64"/>
      </left>
      <right style="double">
        <color indexed="64"/>
      </right>
      <top style="thin">
        <color indexed="64"/>
      </top>
      <bottom style="double">
        <color indexed="64"/>
      </bottom>
      <diagonal/>
    </border>
    <border>
      <left style="medium">
        <color indexed="64"/>
      </left>
      <right style="double">
        <color indexed="64"/>
      </right>
      <top style="medium">
        <color indexed="64"/>
      </top>
      <bottom style="medium">
        <color indexed="64"/>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diagonal/>
    </border>
    <border>
      <left style="medium">
        <color indexed="64"/>
      </left>
      <right style="double">
        <color indexed="64"/>
      </right>
      <top style="thin">
        <color indexed="64"/>
      </top>
      <bottom style="medium">
        <color indexed="64"/>
      </bottom>
      <diagonal/>
    </border>
    <border>
      <left/>
      <right style="thin">
        <color indexed="64"/>
      </right>
      <top/>
      <bottom/>
      <diagonal/>
    </border>
    <border>
      <left style="medium">
        <color indexed="64"/>
      </left>
      <right style="double">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double">
        <color indexed="64"/>
      </right>
      <top style="thick">
        <color indexed="64"/>
      </top>
      <bottom/>
      <diagonal/>
    </border>
    <border>
      <left/>
      <right style="double">
        <color indexed="64"/>
      </right>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diagonal/>
    </border>
    <border>
      <left style="medium">
        <color indexed="64"/>
      </left>
      <right style="double">
        <color indexed="64"/>
      </right>
      <top/>
      <bottom/>
      <diagonal/>
    </border>
    <border>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double">
        <color indexed="64"/>
      </top>
      <bottom style="double">
        <color indexed="64"/>
      </bottom>
      <diagonal/>
    </border>
    <border>
      <left style="medium">
        <color indexed="64"/>
      </left>
      <right style="medium">
        <color indexed="64"/>
      </right>
      <top style="double">
        <color indexed="64"/>
      </top>
      <bottom style="double">
        <color indexed="64"/>
      </bottom>
      <diagonal/>
    </border>
    <border>
      <left style="double">
        <color indexed="64"/>
      </left>
      <right/>
      <top/>
      <bottom style="medium">
        <color indexed="64"/>
      </bottom>
      <diagonal/>
    </border>
    <border>
      <left/>
      <right/>
      <top/>
      <bottom style="medium">
        <color indexed="64"/>
      </bottom>
      <diagonal/>
    </border>
    <border>
      <left style="double">
        <color indexed="64"/>
      </left>
      <right/>
      <top style="thin">
        <color indexed="64"/>
      </top>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s>
  <cellStyleXfs count="44">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4" borderId="0" applyNumberFormat="0" applyBorder="0" applyAlignment="0" applyProtection="0"/>
    <xf numFmtId="0" fontId="19" fillId="16" borderId="1" applyNumberFormat="0" applyAlignment="0" applyProtection="0"/>
    <xf numFmtId="0" fontId="20" fillId="17" borderId="2" applyNumberFormat="0" applyAlignment="0" applyProtection="0"/>
    <xf numFmtId="0" fontId="21" fillId="0" borderId="3" applyNumberFormat="0" applyFill="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21" borderId="0" applyNumberFormat="0" applyBorder="0" applyAlignment="0" applyProtection="0"/>
    <xf numFmtId="0" fontId="22" fillId="7" borderId="1" applyNumberFormat="0" applyAlignment="0" applyProtection="0"/>
    <xf numFmtId="0" fontId="23" fillId="3" borderId="0" applyNumberFormat="0" applyBorder="0" applyAlignment="0" applyProtection="0"/>
    <xf numFmtId="0" fontId="24" fillId="22" borderId="0" applyNumberFormat="0" applyBorder="0" applyAlignment="0" applyProtection="0"/>
    <xf numFmtId="39" fontId="2" fillId="0" borderId="0"/>
    <xf numFmtId="0" fontId="7" fillId="23" borderId="4" applyNumberFormat="0" applyFont="0" applyAlignment="0" applyProtection="0"/>
    <xf numFmtId="0" fontId="25" fillId="16" borderId="5" applyNumberFormat="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9" fillId="0" borderId="6" applyNumberFormat="0" applyFill="0" applyAlignment="0" applyProtection="0"/>
    <xf numFmtId="0" fontId="30" fillId="0" borderId="7" applyNumberFormat="0" applyFill="0" applyAlignment="0" applyProtection="0"/>
    <xf numFmtId="0" fontId="31" fillId="0" borderId="8" applyNumberFormat="0" applyFill="0" applyAlignment="0" applyProtection="0"/>
    <xf numFmtId="0" fontId="31" fillId="0" borderId="0" applyNumberFormat="0" applyFill="0" applyBorder="0" applyAlignment="0" applyProtection="0"/>
    <xf numFmtId="0" fontId="32" fillId="0" borderId="9" applyNumberFormat="0" applyFill="0" applyAlignment="0" applyProtection="0"/>
    <xf numFmtId="171" fontId="1" fillId="0" borderId="0" applyFont="0" applyFill="0" applyBorder="0" applyAlignment="0" applyProtection="0"/>
  </cellStyleXfs>
  <cellXfs count="151">
    <xf numFmtId="0" fontId="0" fillId="0" borderId="0" xfId="0"/>
    <xf numFmtId="39" fontId="4" fillId="24" borderId="0" xfId="32" applyFont="1" applyFill="1" applyBorder="1" applyAlignment="1">
      <alignment vertical="center"/>
    </xf>
    <xf numFmtId="0" fontId="0" fillId="0" borderId="0" xfId="0" applyAlignment="1">
      <alignment vertical="center"/>
    </xf>
    <xf numFmtId="4" fontId="0" fillId="0" borderId="0" xfId="0" applyNumberFormat="1" applyBorder="1" applyAlignment="1">
      <alignment vertical="center"/>
    </xf>
    <xf numFmtId="39" fontId="8" fillId="24" borderId="0" xfId="32" applyFont="1" applyFill="1" applyBorder="1" applyAlignment="1">
      <alignment horizontal="center" vertical="center"/>
    </xf>
    <xf numFmtId="2" fontId="9" fillId="24" borderId="0" xfId="0" applyNumberFormat="1" applyFont="1" applyFill="1" applyBorder="1" applyAlignment="1">
      <alignment vertical="center"/>
    </xf>
    <xf numFmtId="0" fontId="5" fillId="0" borderId="0" xfId="0" applyFont="1" applyFill="1" applyAlignment="1">
      <alignment vertical="center"/>
    </xf>
    <xf numFmtId="0" fontId="5" fillId="0" borderId="0" xfId="0" applyFont="1" applyFill="1" applyAlignment="1">
      <alignment horizontal="center" vertical="center"/>
    </xf>
    <xf numFmtId="0" fontId="7" fillId="0" borderId="0" xfId="0" applyFont="1" applyFill="1" applyAlignment="1">
      <alignment vertical="center"/>
    </xf>
    <xf numFmtId="0" fontId="7" fillId="0" borderId="0" xfId="0" applyFont="1" applyAlignment="1">
      <alignment vertical="center"/>
    </xf>
    <xf numFmtId="0" fontId="7" fillId="24" borderId="0" xfId="0" applyFont="1" applyFill="1" applyAlignment="1">
      <alignment vertical="center"/>
    </xf>
    <xf numFmtId="171" fontId="14" fillId="0" borderId="0" xfId="43" applyFont="1" applyAlignment="1">
      <alignment vertical="center"/>
    </xf>
    <xf numFmtId="0" fontId="11" fillId="24" borderId="0" xfId="0" applyFont="1" applyFill="1" applyBorder="1"/>
    <xf numFmtId="39" fontId="11" fillId="24" borderId="0" xfId="32" applyFont="1" applyFill="1" applyBorder="1" applyAlignment="1">
      <alignment vertical="center"/>
    </xf>
    <xf numFmtId="0" fontId="0" fillId="24" borderId="0" xfId="0" applyFill="1" applyBorder="1" applyAlignment="1">
      <alignment vertical="center"/>
    </xf>
    <xf numFmtId="0" fontId="0" fillId="24" borderId="10" xfId="0" applyFill="1" applyBorder="1"/>
    <xf numFmtId="0" fontId="0" fillId="24" borderId="11" xfId="0" applyFill="1" applyBorder="1"/>
    <xf numFmtId="0" fontId="0" fillId="24" borderId="12" xfId="0" applyFill="1" applyBorder="1"/>
    <xf numFmtId="0" fontId="0" fillId="24" borderId="13" xfId="0" applyFill="1" applyBorder="1"/>
    <xf numFmtId="0" fontId="0" fillId="24" borderId="14" xfId="0" applyFill="1" applyBorder="1" applyAlignment="1">
      <alignment vertical="center"/>
    </xf>
    <xf numFmtId="0" fontId="4" fillId="24" borderId="14" xfId="0" applyFont="1" applyFill="1" applyBorder="1"/>
    <xf numFmtId="0" fontId="0" fillId="24" borderId="15" xfId="0" applyFill="1" applyBorder="1"/>
    <xf numFmtId="0" fontId="11" fillId="25" borderId="16" xfId="0" applyFont="1" applyFill="1" applyBorder="1" applyAlignment="1">
      <alignment horizontal="center" vertical="center"/>
    </xf>
    <xf numFmtId="14" fontId="41" fillId="24" borderId="14" xfId="0" applyNumberFormat="1" applyFont="1" applyFill="1" applyBorder="1" applyAlignment="1">
      <alignment horizontal="left"/>
    </xf>
    <xf numFmtId="0" fontId="7" fillId="0" borderId="0" xfId="0" applyFont="1"/>
    <xf numFmtId="0" fontId="7" fillId="28" borderId="0" xfId="0" applyFont="1" applyFill="1" applyBorder="1" applyAlignment="1">
      <alignment horizontal="right" vertical="center"/>
    </xf>
    <xf numFmtId="0" fontId="7" fillId="28" borderId="17" xfId="0" applyFont="1" applyFill="1" applyBorder="1" applyAlignment="1">
      <alignment horizontal="left" vertical="center"/>
    </xf>
    <xf numFmtId="0" fontId="6" fillId="28" borderId="0" xfId="0" applyFont="1" applyFill="1" applyBorder="1" applyAlignment="1">
      <alignment horizontal="left" vertical="center"/>
    </xf>
    <xf numFmtId="176" fontId="6" fillId="28" borderId="0" xfId="43" applyNumberFormat="1" applyFont="1" applyFill="1" applyBorder="1" applyAlignment="1">
      <alignment vertical="center"/>
    </xf>
    <xf numFmtId="39" fontId="6" fillId="26" borderId="18" xfId="43" applyNumberFormat="1" applyFont="1" applyFill="1" applyBorder="1" applyAlignment="1">
      <alignment horizontal="center" vertical="center" wrapText="1"/>
    </xf>
    <xf numFmtId="39" fontId="6" fillId="29" borderId="18" xfId="43" applyNumberFormat="1" applyFont="1" applyFill="1" applyBorder="1" applyAlignment="1">
      <alignment horizontal="center" vertical="center" wrapText="1"/>
    </xf>
    <xf numFmtId="214" fontId="12" fillId="28" borderId="19" xfId="43" applyNumberFormat="1" applyFont="1" applyFill="1" applyBorder="1" applyAlignment="1">
      <alignment vertical="center"/>
    </xf>
    <xf numFmtId="214" fontId="13" fillId="28" borderId="20" xfId="43" applyNumberFormat="1" applyFont="1" applyFill="1" applyBorder="1" applyAlignment="1">
      <alignment vertical="center"/>
    </xf>
    <xf numFmtId="214" fontId="12" fillId="28" borderId="20" xfId="43" applyNumberFormat="1" applyFont="1" applyFill="1" applyBorder="1" applyAlignment="1">
      <alignment vertical="center"/>
    </xf>
    <xf numFmtId="214" fontId="13" fillId="28" borderId="19" xfId="43" applyNumberFormat="1" applyFont="1" applyFill="1" applyBorder="1" applyAlignment="1">
      <alignment vertical="center"/>
    </xf>
    <xf numFmtId="214" fontId="12" fillId="28" borderId="21" xfId="43" applyNumberFormat="1" applyFont="1" applyFill="1" applyBorder="1" applyAlignment="1">
      <alignment vertical="center"/>
    </xf>
    <xf numFmtId="214" fontId="12" fillId="27" borderId="22" xfId="43" applyNumberFormat="1" applyFont="1" applyFill="1" applyBorder="1" applyAlignment="1">
      <alignment vertical="center"/>
    </xf>
    <xf numFmtId="0" fontId="7" fillId="0" borderId="14" xfId="0" applyFont="1" applyBorder="1" applyAlignment="1">
      <alignment vertical="center"/>
    </xf>
    <xf numFmtId="176" fontId="7" fillId="28" borderId="23" xfId="43" applyNumberFormat="1" applyFont="1" applyFill="1" applyBorder="1" applyAlignment="1">
      <alignment vertical="center"/>
    </xf>
    <xf numFmtId="176" fontId="6" fillId="29" borderId="24" xfId="43" applyNumberFormat="1" applyFont="1" applyFill="1" applyBorder="1" applyAlignment="1">
      <alignment vertical="center"/>
    </xf>
    <xf numFmtId="177" fontId="7" fillId="28" borderId="25" xfId="0" applyNumberFormat="1" applyFont="1" applyFill="1" applyBorder="1" applyAlignment="1">
      <alignment horizontal="left" vertical="center"/>
    </xf>
    <xf numFmtId="0" fontId="6" fillId="28" borderId="20" xfId="0" applyFont="1" applyFill="1" applyBorder="1" applyAlignment="1">
      <alignment horizontal="right" vertical="center" wrapText="1"/>
    </xf>
    <xf numFmtId="177" fontId="7" fillId="28" borderId="19" xfId="0" applyNumberFormat="1" applyFont="1" applyFill="1" applyBorder="1" applyAlignment="1">
      <alignment vertical="center"/>
    </xf>
    <xf numFmtId="177" fontId="7" fillId="28" borderId="20" xfId="0" applyNumberFormat="1" applyFont="1" applyFill="1" applyBorder="1" applyAlignment="1">
      <alignment vertical="center"/>
    </xf>
    <xf numFmtId="177" fontId="7" fillId="28" borderId="20" xfId="0" applyNumberFormat="1" applyFont="1" applyFill="1" applyBorder="1" applyAlignment="1">
      <alignment horizontal="left" vertical="center"/>
    </xf>
    <xf numFmtId="214" fontId="12" fillId="28" borderId="26" xfId="43" applyNumberFormat="1" applyFont="1" applyFill="1" applyBorder="1" applyAlignment="1">
      <alignment vertical="center"/>
    </xf>
    <xf numFmtId="0" fontId="15" fillId="28" borderId="0" xfId="0" applyFont="1" applyFill="1" applyBorder="1" applyAlignment="1">
      <alignment horizontal="right" vertical="center"/>
    </xf>
    <xf numFmtId="214" fontId="12" fillId="28" borderId="0" xfId="43" applyNumberFormat="1" applyFont="1" applyFill="1" applyBorder="1" applyAlignment="1">
      <alignment vertical="center"/>
    </xf>
    <xf numFmtId="0" fontId="7" fillId="28" borderId="0" xfId="0" applyFont="1" applyFill="1" applyAlignment="1">
      <alignment vertical="center"/>
    </xf>
    <xf numFmtId="0" fontId="0" fillId="0" borderId="0" xfId="0" applyAlignment="1">
      <alignment horizontal="left" vertical="center"/>
    </xf>
    <xf numFmtId="0" fontId="7" fillId="0" borderId="0" xfId="0" applyFont="1" applyAlignment="1">
      <alignment horizontal="left" vertical="center"/>
    </xf>
    <xf numFmtId="0" fontId="5" fillId="26" borderId="27" xfId="0" applyFont="1" applyFill="1" applyBorder="1" applyAlignment="1">
      <alignment horizontal="center" vertical="center"/>
    </xf>
    <xf numFmtId="49" fontId="6" fillId="28" borderId="28" xfId="0" applyNumberFormat="1" applyFont="1" applyFill="1" applyBorder="1" applyAlignment="1">
      <alignment horizontal="center" vertical="center"/>
    </xf>
    <xf numFmtId="49" fontId="6" fillId="28" borderId="29" xfId="0" applyNumberFormat="1" applyFont="1" applyFill="1" applyBorder="1" applyAlignment="1">
      <alignment horizontal="center" vertical="center"/>
    </xf>
    <xf numFmtId="49" fontId="6" fillId="28" borderId="28" xfId="0" applyNumberFormat="1" applyFont="1" applyFill="1" applyBorder="1" applyAlignment="1">
      <alignment horizontal="center" vertical="center"/>
    </xf>
    <xf numFmtId="214" fontId="0" fillId="0" borderId="0" xfId="0" applyNumberFormat="1" applyAlignment="1">
      <alignment vertical="center"/>
    </xf>
    <xf numFmtId="0" fontId="7" fillId="0" borderId="0" xfId="0" applyFont="1" applyBorder="1" applyAlignment="1">
      <alignment vertical="center"/>
    </xf>
    <xf numFmtId="49" fontId="6" fillId="28" borderId="28" xfId="0" applyNumberFormat="1" applyFont="1" applyFill="1" applyBorder="1" applyAlignment="1">
      <alignment horizontal="center" vertical="center"/>
    </xf>
    <xf numFmtId="0" fontId="0" fillId="0" borderId="0" xfId="0" applyBorder="1" applyAlignment="1">
      <alignment vertical="center"/>
    </xf>
    <xf numFmtId="3" fontId="0" fillId="0" borderId="0" xfId="0" applyNumberFormat="1" applyBorder="1" applyAlignment="1">
      <alignment vertical="center"/>
    </xf>
    <xf numFmtId="0" fontId="0" fillId="0" borderId="0" xfId="0" applyBorder="1" applyAlignment="1">
      <alignment horizontal="left" vertical="center"/>
    </xf>
    <xf numFmtId="0" fontId="7" fillId="0" borderId="0" xfId="0" applyFont="1" applyBorder="1" applyAlignment="1">
      <alignment horizontal="left" vertical="center"/>
    </xf>
    <xf numFmtId="3" fontId="7" fillId="0" borderId="0" xfId="0" applyNumberFormat="1" applyFont="1" applyBorder="1" applyAlignment="1">
      <alignment vertical="center"/>
    </xf>
    <xf numFmtId="171" fontId="14" fillId="0" borderId="0" xfId="43" applyFont="1" applyBorder="1" applyAlignment="1">
      <alignment vertical="center"/>
    </xf>
    <xf numFmtId="177" fontId="7" fillId="28" borderId="21" xfId="0" applyNumberFormat="1" applyFont="1" applyFill="1" applyBorder="1" applyAlignment="1">
      <alignment vertical="center"/>
    </xf>
    <xf numFmtId="215" fontId="12" fillId="28" borderId="30" xfId="43" quotePrefix="1" applyNumberFormat="1" applyFont="1" applyFill="1" applyBorder="1" applyAlignment="1">
      <alignment horizontal="right" vertical="center"/>
    </xf>
    <xf numFmtId="215" fontId="12" fillId="28" borderId="31" xfId="43" applyNumberFormat="1" applyFont="1" applyFill="1" applyBorder="1" applyAlignment="1">
      <alignment horizontal="right" vertical="center"/>
    </xf>
    <xf numFmtId="215" fontId="12" fillId="28" borderId="32" xfId="43" applyNumberFormat="1" applyFont="1" applyFill="1" applyBorder="1" applyAlignment="1">
      <alignment horizontal="right" vertical="center"/>
    </xf>
    <xf numFmtId="0" fontId="7" fillId="0" borderId="33" xfId="0" applyFont="1" applyBorder="1" applyAlignment="1">
      <alignment vertical="center"/>
    </xf>
    <xf numFmtId="215" fontId="12" fillId="28" borderId="34" xfId="43" applyNumberFormat="1" applyFont="1" applyFill="1" applyBorder="1" applyAlignment="1">
      <alignment vertical="center"/>
    </xf>
    <xf numFmtId="171" fontId="14" fillId="0" borderId="0" xfId="43" applyFont="1" applyAlignment="1">
      <alignment horizontal="left" vertical="center"/>
    </xf>
    <xf numFmtId="0" fontId="5" fillId="0" borderId="0" xfId="0" applyFont="1" applyFill="1" applyAlignment="1">
      <alignment horizontal="left" vertical="center"/>
    </xf>
    <xf numFmtId="0" fontId="0" fillId="0" borderId="0" xfId="0" applyAlignment="1">
      <alignment horizontal="left"/>
    </xf>
    <xf numFmtId="39" fontId="33" fillId="24" borderId="0" xfId="32" applyFont="1" applyFill="1" applyBorder="1" applyAlignment="1">
      <alignment horizontal="left" vertical="center" wrapText="1"/>
    </xf>
    <xf numFmtId="0" fontId="34" fillId="24" borderId="35" xfId="0" applyFont="1" applyFill="1" applyBorder="1" applyAlignment="1">
      <alignment horizontal="left"/>
    </xf>
    <xf numFmtId="0" fontId="34" fillId="24" borderId="36" xfId="0" applyFont="1" applyFill="1" applyBorder="1" applyAlignment="1">
      <alignment horizontal="left" vertical="center"/>
    </xf>
    <xf numFmtId="0" fontId="33" fillId="24" borderId="36" xfId="0" applyFont="1" applyFill="1" applyBorder="1" applyAlignment="1">
      <alignment horizontal="left"/>
    </xf>
    <xf numFmtId="39" fontId="33" fillId="24" borderId="37" xfId="32" applyFont="1" applyFill="1" applyBorder="1" applyAlignment="1">
      <alignment horizontal="left" vertical="center"/>
    </xf>
    <xf numFmtId="0" fontId="34" fillId="0" borderId="0" xfId="0" applyFont="1" applyAlignment="1">
      <alignment horizontal="left" vertical="center" wrapText="1"/>
    </xf>
    <xf numFmtId="0" fontId="36" fillId="0" borderId="0" xfId="0" applyFont="1" applyAlignment="1">
      <alignment horizontal="left" wrapText="1"/>
    </xf>
    <xf numFmtId="0" fontId="37" fillId="0" borderId="0" xfId="0" applyFont="1" applyAlignment="1">
      <alignment horizontal="center"/>
    </xf>
    <xf numFmtId="214" fontId="0" fillId="0" borderId="0" xfId="0" applyNumberFormat="1"/>
    <xf numFmtId="171" fontId="13" fillId="0" borderId="0" xfId="43" applyFont="1" applyAlignment="1">
      <alignment horizontal="left" vertical="center"/>
    </xf>
    <xf numFmtId="0" fontId="38" fillId="0" borderId="0" xfId="0" applyFont="1" applyAlignment="1">
      <alignment horizontal="center" wrapText="1"/>
    </xf>
    <xf numFmtId="39" fontId="33" fillId="24" borderId="0" xfId="32" applyFont="1" applyFill="1" applyBorder="1" applyAlignment="1">
      <alignment horizontal="left" vertical="center"/>
    </xf>
    <xf numFmtId="176" fontId="12" fillId="30" borderId="38" xfId="43" applyNumberFormat="1" applyFont="1" applyFill="1" applyBorder="1" applyAlignment="1">
      <alignment vertical="center"/>
    </xf>
    <xf numFmtId="177" fontId="7" fillId="28" borderId="24" xfId="0" applyNumberFormat="1" applyFont="1" applyFill="1" applyBorder="1" applyAlignment="1">
      <alignment vertical="center"/>
    </xf>
    <xf numFmtId="215" fontId="12" fillId="28" borderId="14" xfId="43" applyNumberFormat="1" applyFont="1" applyFill="1" applyBorder="1" applyAlignment="1">
      <alignment horizontal="right" vertical="center"/>
    </xf>
    <xf numFmtId="214" fontId="12" fillId="28" borderId="39" xfId="43" applyNumberFormat="1" applyFont="1" applyFill="1" applyBorder="1" applyAlignment="1">
      <alignment vertical="center"/>
    </xf>
    <xf numFmtId="177" fontId="7" fillId="28" borderId="40" xfId="0" applyNumberFormat="1" applyFont="1" applyFill="1" applyBorder="1" applyAlignment="1">
      <alignment vertical="center"/>
    </xf>
    <xf numFmtId="49" fontId="6" fillId="28" borderId="41" xfId="0" applyNumberFormat="1" applyFont="1" applyFill="1" applyBorder="1" applyAlignment="1">
      <alignment horizontal="center" vertical="center"/>
    </xf>
    <xf numFmtId="49" fontId="6" fillId="28" borderId="28" xfId="0" applyNumberFormat="1" applyFont="1" applyFill="1" applyBorder="1" applyAlignment="1">
      <alignment horizontal="center" vertical="center"/>
    </xf>
    <xf numFmtId="0" fontId="6" fillId="28" borderId="42" xfId="0" applyFont="1" applyFill="1" applyBorder="1" applyAlignment="1">
      <alignment horizontal="center" vertical="center"/>
    </xf>
    <xf numFmtId="215" fontId="12" fillId="28" borderId="43" xfId="43" quotePrefix="1" applyNumberFormat="1" applyFont="1" applyFill="1" applyBorder="1" applyAlignment="1">
      <alignment horizontal="right" vertical="center"/>
    </xf>
    <xf numFmtId="49" fontId="6" fillId="28" borderId="28" xfId="0" applyNumberFormat="1" applyFont="1" applyFill="1" applyBorder="1" applyAlignment="1">
      <alignment horizontal="center" vertical="center"/>
    </xf>
    <xf numFmtId="0" fontId="35" fillId="0" borderId="0" xfId="0" applyFont="1" applyAlignment="1">
      <alignment horizontal="justify"/>
    </xf>
    <xf numFmtId="0" fontId="36" fillId="0" borderId="0" xfId="0" applyFont="1" applyAlignment="1">
      <alignment horizontal="justify" wrapText="1"/>
    </xf>
    <xf numFmtId="0" fontId="35" fillId="0" borderId="0" xfId="0" applyFont="1" applyAlignment="1">
      <alignment horizontal="justify" wrapText="1"/>
    </xf>
    <xf numFmtId="0" fontId="36" fillId="0" borderId="0" xfId="0" applyFont="1" applyAlignment="1">
      <alignment horizontal="justify"/>
    </xf>
    <xf numFmtId="214" fontId="7" fillId="0" borderId="0" xfId="0" applyNumberFormat="1" applyFont="1" applyAlignment="1">
      <alignment vertical="center"/>
    </xf>
    <xf numFmtId="0" fontId="36" fillId="28" borderId="0" xfId="0" applyFont="1" applyFill="1" applyAlignment="1">
      <alignment horizontal="left" wrapText="1"/>
    </xf>
    <xf numFmtId="214" fontId="7" fillId="0" borderId="0" xfId="0" applyNumberFormat="1" applyFont="1" applyFill="1" applyAlignment="1">
      <alignment vertical="center"/>
    </xf>
    <xf numFmtId="4" fontId="0" fillId="0" borderId="0" xfId="0" applyNumberFormat="1" applyAlignment="1">
      <alignment vertical="center"/>
    </xf>
    <xf numFmtId="4" fontId="40" fillId="0" borderId="0" xfId="0" applyNumberFormat="1" applyFont="1" applyAlignment="1">
      <alignment vertical="center"/>
    </xf>
    <xf numFmtId="0" fontId="0" fillId="28" borderId="0" xfId="0" applyFill="1" applyAlignment="1">
      <alignment vertical="center"/>
    </xf>
    <xf numFmtId="0" fontId="42" fillId="28" borderId="0" xfId="0" applyFont="1" applyFill="1" applyAlignment="1">
      <alignment vertical="center"/>
    </xf>
    <xf numFmtId="0" fontId="43" fillId="24" borderId="44" xfId="0" applyFont="1" applyFill="1" applyBorder="1" applyAlignment="1">
      <alignment horizontal="right"/>
    </xf>
    <xf numFmtId="14" fontId="43" fillId="24" borderId="45" xfId="0" applyNumberFormat="1" applyFont="1" applyFill="1" applyBorder="1" applyAlignment="1">
      <alignment horizontal="left"/>
    </xf>
    <xf numFmtId="0" fontId="7" fillId="0" borderId="40" xfId="0" applyFont="1" applyBorder="1" applyAlignment="1">
      <alignment horizontal="left" vertical="center"/>
    </xf>
    <xf numFmtId="0" fontId="36" fillId="28" borderId="0" xfId="0" applyFont="1" applyFill="1" applyAlignment="1">
      <alignment vertical="top" wrapText="1"/>
    </xf>
    <xf numFmtId="217" fontId="0" fillId="0" borderId="40" xfId="0" applyNumberFormat="1" applyBorder="1" applyAlignment="1">
      <alignment horizontal="center" vertical="center"/>
    </xf>
    <xf numFmtId="217" fontId="6" fillId="0" borderId="40" xfId="0" applyNumberFormat="1" applyFont="1" applyBorder="1" applyAlignment="1">
      <alignment horizontal="center" vertical="center"/>
    </xf>
    <xf numFmtId="49" fontId="6" fillId="28" borderId="28" xfId="0" applyNumberFormat="1" applyFont="1" applyFill="1" applyBorder="1" applyAlignment="1">
      <alignment horizontal="center" vertical="center"/>
    </xf>
    <xf numFmtId="0" fontId="0" fillId="0" borderId="11" xfId="0" applyBorder="1"/>
    <xf numFmtId="0" fontId="0" fillId="0" borderId="0" xfId="0" applyBorder="1"/>
    <xf numFmtId="0" fontId="0" fillId="0" borderId="14" xfId="0" applyBorder="1"/>
    <xf numFmtId="0" fontId="0" fillId="0" borderId="44" xfId="0" applyBorder="1"/>
    <xf numFmtId="0" fontId="0" fillId="0" borderId="45" xfId="0" applyBorder="1"/>
    <xf numFmtId="177" fontId="7" fillId="28" borderId="19" xfId="0" applyNumberFormat="1" applyFont="1" applyFill="1" applyBorder="1" applyAlignment="1">
      <alignment vertical="center" wrapText="1"/>
    </xf>
    <xf numFmtId="177" fontId="7" fillId="28" borderId="25" xfId="0" applyNumberFormat="1" applyFont="1" applyFill="1" applyBorder="1" applyAlignment="1">
      <alignment vertical="center" wrapText="1"/>
    </xf>
    <xf numFmtId="177" fontId="7" fillId="28" borderId="20" xfId="0" applyNumberFormat="1" applyFont="1" applyFill="1" applyBorder="1" applyAlignment="1">
      <alignment vertical="center" wrapText="1"/>
    </xf>
    <xf numFmtId="177" fontId="7" fillId="28" borderId="24" xfId="0" applyNumberFormat="1" applyFont="1" applyFill="1" applyBorder="1" applyAlignment="1">
      <alignment vertical="center" wrapText="1"/>
    </xf>
    <xf numFmtId="177" fontId="7" fillId="28" borderId="40" xfId="0" applyNumberFormat="1" applyFont="1" applyFill="1" applyBorder="1" applyAlignment="1">
      <alignment vertical="center" wrapText="1"/>
    </xf>
    <xf numFmtId="0" fontId="0" fillId="0" borderId="11" xfId="0" applyBorder="1" applyAlignment="1">
      <alignment vertical="center"/>
    </xf>
    <xf numFmtId="0" fontId="5" fillId="0" borderId="12" xfId="0" applyFont="1" applyFill="1" applyBorder="1" applyAlignment="1">
      <alignment horizontal="center" vertical="center"/>
    </xf>
    <xf numFmtId="0" fontId="4" fillId="24" borderId="0" xfId="0" applyFont="1" applyFill="1" applyBorder="1"/>
    <xf numFmtId="14" fontId="41" fillId="24" borderId="0" xfId="0" applyNumberFormat="1" applyFont="1" applyFill="1" applyBorder="1" applyAlignment="1">
      <alignment horizontal="left"/>
    </xf>
    <xf numFmtId="14" fontId="43" fillId="24" borderId="44" xfId="0" applyNumberFormat="1" applyFont="1" applyFill="1" applyBorder="1" applyAlignment="1">
      <alignment horizontal="left"/>
    </xf>
    <xf numFmtId="0" fontId="13" fillId="28" borderId="50" xfId="0" applyFont="1" applyFill="1" applyBorder="1" applyAlignment="1">
      <alignment horizontal="left" vertical="center" wrapText="1"/>
    </xf>
    <xf numFmtId="0" fontId="13" fillId="28" borderId="51" xfId="0" applyFont="1" applyFill="1" applyBorder="1" applyAlignment="1">
      <alignment horizontal="left" vertical="center" wrapText="1"/>
    </xf>
    <xf numFmtId="0" fontId="13" fillId="28" borderId="56" xfId="0" applyFont="1" applyFill="1" applyBorder="1" applyAlignment="1">
      <alignment horizontal="left" vertical="center" wrapText="1"/>
    </xf>
    <xf numFmtId="0" fontId="13" fillId="28" borderId="57" xfId="0" applyFont="1" applyFill="1" applyBorder="1" applyAlignment="1">
      <alignment horizontal="left" vertical="center" wrapText="1"/>
    </xf>
    <xf numFmtId="0" fontId="12" fillId="29" borderId="41" xfId="0" applyFont="1" applyFill="1" applyBorder="1" applyAlignment="1">
      <alignment horizontal="right" vertical="center"/>
    </xf>
    <xf numFmtId="0" fontId="12" fillId="29" borderId="40" xfId="0" applyFont="1" applyFill="1" applyBorder="1" applyAlignment="1">
      <alignment horizontal="right" vertical="center"/>
    </xf>
    <xf numFmtId="0" fontId="5" fillId="26" borderId="59" xfId="0" applyFont="1" applyFill="1" applyBorder="1" applyAlignment="1">
      <alignment horizontal="center" vertical="center"/>
    </xf>
    <xf numFmtId="0" fontId="5" fillId="26" borderId="60" xfId="0" applyFont="1" applyFill="1" applyBorder="1" applyAlignment="1">
      <alignment horizontal="center" vertical="center"/>
    </xf>
    <xf numFmtId="0" fontId="15" fillId="27" borderId="46" xfId="0" applyFont="1" applyFill="1" applyBorder="1" applyAlignment="1">
      <alignment horizontal="right" vertical="center"/>
    </xf>
    <xf numFmtId="0" fontId="15" fillId="27" borderId="47" xfId="0" applyFont="1" applyFill="1" applyBorder="1" applyAlignment="1">
      <alignment horizontal="right" vertical="center"/>
    </xf>
    <xf numFmtId="0" fontId="13" fillId="28" borderId="52" xfId="0" applyFont="1" applyFill="1" applyBorder="1" applyAlignment="1">
      <alignment horizontal="left" vertical="center" wrapText="1"/>
    </xf>
    <xf numFmtId="0" fontId="13" fillId="28" borderId="53" xfId="0" applyFont="1" applyFill="1" applyBorder="1" applyAlignment="1">
      <alignment horizontal="left" vertical="center" wrapText="1"/>
    </xf>
    <xf numFmtId="0" fontId="10" fillId="25" borderId="54" xfId="0" applyFont="1" applyFill="1" applyBorder="1" applyAlignment="1">
      <alignment horizontal="center" vertical="center"/>
    </xf>
    <xf numFmtId="0" fontId="10" fillId="25" borderId="55" xfId="0" applyFont="1" applyFill="1" applyBorder="1" applyAlignment="1">
      <alignment horizontal="center" vertical="center"/>
    </xf>
    <xf numFmtId="0" fontId="12" fillId="29" borderId="10" xfId="0" applyFont="1" applyFill="1" applyBorder="1" applyAlignment="1">
      <alignment horizontal="right" vertical="center"/>
    </xf>
    <xf numFmtId="0" fontId="12" fillId="29" borderId="11" xfId="0" applyFont="1" applyFill="1" applyBorder="1" applyAlignment="1">
      <alignment horizontal="right" vertical="center"/>
    </xf>
    <xf numFmtId="49" fontId="6" fillId="28" borderId="58" xfId="0" applyNumberFormat="1" applyFont="1" applyFill="1" applyBorder="1" applyAlignment="1">
      <alignment horizontal="center" vertical="center"/>
    </xf>
    <xf numFmtId="49" fontId="6" fillId="28" borderId="13" xfId="0" applyNumberFormat="1" applyFont="1" applyFill="1" applyBorder="1" applyAlignment="1">
      <alignment horizontal="center" vertical="center"/>
    </xf>
    <xf numFmtId="49" fontId="6" fillId="28" borderId="28" xfId="0" applyNumberFormat="1" applyFont="1" applyFill="1" applyBorder="1" applyAlignment="1">
      <alignment horizontal="center" vertical="center"/>
    </xf>
    <xf numFmtId="49" fontId="6" fillId="28" borderId="25" xfId="0" applyNumberFormat="1" applyFont="1" applyFill="1" applyBorder="1" applyAlignment="1">
      <alignment horizontal="center" vertical="center"/>
    </xf>
    <xf numFmtId="49" fontId="6" fillId="28" borderId="20" xfId="0" applyNumberFormat="1" applyFont="1" applyFill="1" applyBorder="1" applyAlignment="1">
      <alignment horizontal="center" vertical="center"/>
    </xf>
    <xf numFmtId="49" fontId="6" fillId="28" borderId="48" xfId="0" applyNumberFormat="1" applyFont="1" applyFill="1" applyBorder="1" applyAlignment="1">
      <alignment horizontal="center" vertical="center"/>
    </xf>
    <xf numFmtId="49" fontId="6" fillId="28" borderId="49" xfId="0" applyNumberFormat="1" applyFont="1" applyFill="1" applyBorder="1" applyAlignment="1">
      <alignment horizontal="center" vertical="center"/>
    </xf>
  </cellXfs>
  <cellStyles count="44">
    <cellStyle name="20% - Ênfase1" xfId="1" builtinId="30" customBuiltin="1"/>
    <cellStyle name="20% - Ênfase2" xfId="2" builtinId="34" customBuiltin="1"/>
    <cellStyle name="20% - Ênfase3" xfId="3" builtinId="38" customBuiltin="1"/>
    <cellStyle name="20% - Ênfase4" xfId="4" builtinId="42" customBuiltin="1"/>
    <cellStyle name="20% - Ênfase5" xfId="5" builtinId="46" customBuiltin="1"/>
    <cellStyle name="20% - Ênfase6" xfId="6" builtinId="50" customBuiltin="1"/>
    <cellStyle name="40% - Ênfase1" xfId="7" builtinId="31" customBuiltin="1"/>
    <cellStyle name="40% - Ênfase2" xfId="8" builtinId="35" customBuiltin="1"/>
    <cellStyle name="40% - Ênfase3" xfId="9" builtinId="39" customBuiltin="1"/>
    <cellStyle name="40% - Ênfase4" xfId="10" builtinId="43" customBuiltin="1"/>
    <cellStyle name="40% - Ênfase5" xfId="11" builtinId="47" customBuiltin="1"/>
    <cellStyle name="40% - Ênfase6" xfId="12" builtinId="51" customBuiltin="1"/>
    <cellStyle name="60% - Ênfase1" xfId="13" builtinId="32" customBuiltin="1"/>
    <cellStyle name="60% - Ênfase2" xfId="14" builtinId="36" customBuiltin="1"/>
    <cellStyle name="60% - Ênfase3" xfId="15" builtinId="40" customBuiltin="1"/>
    <cellStyle name="60% - Ênfase4" xfId="16" builtinId="44" customBuiltin="1"/>
    <cellStyle name="60% - Ênfase5" xfId="17" builtinId="48" customBuiltin="1"/>
    <cellStyle name="60% - Ênfase6" xfId="18" builtinId="52" customBuiltin="1"/>
    <cellStyle name="Bom" xfId="19" builtinId="26" customBuiltin="1"/>
    <cellStyle name="Cálculo" xfId="20" builtinId="22" customBuiltin="1"/>
    <cellStyle name="Célula de Verificação" xfId="21" builtinId="23" customBuiltin="1"/>
    <cellStyle name="Célula Vinculada" xfId="22" builtinId="24" customBuiltin="1"/>
    <cellStyle name="Ênfase1" xfId="23" builtinId="29" customBuiltin="1"/>
    <cellStyle name="Ênfase2" xfId="24" builtinId="33" customBuiltin="1"/>
    <cellStyle name="Ênfase3" xfId="25" builtinId="37" customBuiltin="1"/>
    <cellStyle name="Ênfase4" xfId="26" builtinId="41" customBuiltin="1"/>
    <cellStyle name="Ênfase5" xfId="27" builtinId="45" customBuiltin="1"/>
    <cellStyle name="Ênfase6" xfId="28" builtinId="49" customBuiltin="1"/>
    <cellStyle name="Entrada" xfId="29" builtinId="20" customBuiltin="1"/>
    <cellStyle name="Incorreto" xfId="30" builtinId="27" customBuiltin="1"/>
    <cellStyle name="Neutra" xfId="31" builtinId="28" customBuiltin="1"/>
    <cellStyle name="Normal" xfId="0" builtinId="0"/>
    <cellStyle name="Normal_APLJF-9A" xfId="32"/>
    <cellStyle name="Nota" xfId="33" builtinId="10" customBuiltin="1"/>
    <cellStyle name="Saída" xfId="34" builtinId="21" customBuiltin="1"/>
    <cellStyle name="Texto de Aviso" xfId="35" builtinId="11" customBuiltin="1"/>
    <cellStyle name="Texto Explicativo" xfId="36" builtinId="53" customBuiltin="1"/>
    <cellStyle name="Título" xfId="37" builtinId="15" customBuiltin="1"/>
    <cellStyle name="Título 1" xfId="38" builtinId="16" customBuiltin="1"/>
    <cellStyle name="Título 2" xfId="39" builtinId="17" customBuiltin="1"/>
    <cellStyle name="Título 3" xfId="40" builtinId="18" customBuiltin="1"/>
    <cellStyle name="Título 4" xfId="41" builtinId="19" customBuiltin="1"/>
    <cellStyle name="Total" xfId="42" builtinId="25" customBuiltin="1"/>
    <cellStyle name="Vírgula" xfId="43"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1D1D1"/>
      <rgbColor rgb="00474747"/>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5E5FF"/>
      <rgbColor rgb="00CEF9FE"/>
      <rgbColor rgb="00CCFFCC"/>
      <rgbColor rgb="00FFFF99"/>
      <rgbColor rgb="00D5FF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342900</xdr:colOff>
      <xdr:row>1</xdr:row>
      <xdr:rowOff>47625</xdr:rowOff>
    </xdr:from>
    <xdr:to>
      <xdr:col>1</xdr:col>
      <xdr:colOff>1200150</xdr:colOff>
      <xdr:row>5</xdr:row>
      <xdr:rowOff>171450</xdr:rowOff>
    </xdr:to>
    <xdr:pic>
      <xdr:nvPicPr>
        <xdr:cNvPr id="158112" name="Picture 18" descr="logo_topo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1892" t="16058" r="32973" b="37956"/>
        <a:stretch>
          <a:fillRect/>
        </a:stretch>
      </xdr:blipFill>
      <xdr:spPr bwMode="auto">
        <a:xfrm>
          <a:off x="561975" y="161925"/>
          <a:ext cx="857250" cy="1019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1409700</xdr:colOff>
      <xdr:row>1</xdr:row>
      <xdr:rowOff>28575</xdr:rowOff>
    </xdr:from>
    <xdr:to>
      <xdr:col>2</xdr:col>
      <xdr:colOff>1895475</xdr:colOff>
      <xdr:row>3</xdr:row>
      <xdr:rowOff>28575</xdr:rowOff>
    </xdr:to>
    <xdr:pic>
      <xdr:nvPicPr>
        <xdr:cNvPr id="158113" name="Picture 19" descr="logo_topo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0809" t="58394" r="8649" b="13869"/>
        <a:stretch>
          <a:fillRect/>
        </a:stretch>
      </xdr:blipFill>
      <xdr:spPr bwMode="auto">
        <a:xfrm>
          <a:off x="1628775" y="142875"/>
          <a:ext cx="200025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342900</xdr:colOff>
      <xdr:row>1</xdr:row>
      <xdr:rowOff>47625</xdr:rowOff>
    </xdr:from>
    <xdr:to>
      <xdr:col>2</xdr:col>
      <xdr:colOff>247650</xdr:colOff>
      <xdr:row>5</xdr:row>
      <xdr:rowOff>171450</xdr:rowOff>
    </xdr:to>
    <xdr:pic>
      <xdr:nvPicPr>
        <xdr:cNvPr id="161795" name="Picture 18" descr="logo_topo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1892" t="16058" r="32973" b="37956"/>
        <a:stretch>
          <a:fillRect/>
        </a:stretch>
      </xdr:blipFill>
      <xdr:spPr bwMode="auto">
        <a:xfrm>
          <a:off x="561975" y="161925"/>
          <a:ext cx="857250" cy="1019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1409700</xdr:colOff>
      <xdr:row>1</xdr:row>
      <xdr:rowOff>28575</xdr:rowOff>
    </xdr:from>
    <xdr:to>
      <xdr:col>2</xdr:col>
      <xdr:colOff>2000250</xdr:colOff>
      <xdr:row>3</xdr:row>
      <xdr:rowOff>28575</xdr:rowOff>
    </xdr:to>
    <xdr:pic>
      <xdr:nvPicPr>
        <xdr:cNvPr id="161796" name="Picture 19" descr="logo_topo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0809" t="58394" r="8649" b="13869"/>
        <a:stretch>
          <a:fillRect/>
        </a:stretch>
      </xdr:blipFill>
      <xdr:spPr bwMode="auto">
        <a:xfrm>
          <a:off x="1171575" y="142875"/>
          <a:ext cx="200025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314325</xdr:colOff>
      <xdr:row>2</xdr:row>
      <xdr:rowOff>123825</xdr:rowOff>
    </xdr:from>
    <xdr:to>
      <xdr:col>1</xdr:col>
      <xdr:colOff>904875</xdr:colOff>
      <xdr:row>5</xdr:row>
      <xdr:rowOff>57150</xdr:rowOff>
    </xdr:to>
    <xdr:pic>
      <xdr:nvPicPr>
        <xdr:cNvPr id="161203" name="Picture 18" descr="logo_topo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1892" t="16058" r="32973" b="37956"/>
        <a:stretch>
          <a:fillRect/>
        </a:stretch>
      </xdr:blipFill>
      <xdr:spPr bwMode="auto">
        <a:xfrm>
          <a:off x="638175" y="647700"/>
          <a:ext cx="590550"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1238250</xdr:colOff>
      <xdr:row>2</xdr:row>
      <xdr:rowOff>247650</xdr:rowOff>
    </xdr:from>
    <xdr:to>
      <xdr:col>1</xdr:col>
      <xdr:colOff>3810000</xdr:colOff>
      <xdr:row>5</xdr:row>
      <xdr:rowOff>114300</xdr:rowOff>
    </xdr:to>
    <xdr:pic>
      <xdr:nvPicPr>
        <xdr:cNvPr id="161204" name="Picture 19" descr="logo_topo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0809" t="58394" r="8649" b="13869"/>
        <a:stretch>
          <a:fillRect/>
        </a:stretch>
      </xdr:blipFill>
      <xdr:spPr bwMode="auto">
        <a:xfrm>
          <a:off x="1562100" y="771525"/>
          <a:ext cx="25717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5">
    <tabColor rgb="FF00B050"/>
    <outlinePr summaryBelow="0"/>
  </sheetPr>
  <dimension ref="A1:T96"/>
  <sheetViews>
    <sheetView showGridLines="0" tabSelected="1" zoomScale="73" zoomScaleNormal="73" workbookViewId="0"/>
  </sheetViews>
  <sheetFormatPr defaultColWidth="21.42578125" defaultRowHeight="15" x14ac:dyDescent="0.2"/>
  <cols>
    <col min="1" max="1" width="3.28515625" style="2" customWidth="1"/>
    <col min="2" max="2" width="22.7109375" style="2" bestFit="1" customWidth="1"/>
    <col min="3" max="3" width="62" style="2" customWidth="1"/>
    <col min="4" max="4" width="26.7109375" style="2" customWidth="1"/>
    <col min="5" max="5" width="23.7109375" style="2" customWidth="1"/>
    <col min="6" max="6" width="26.85546875" style="2" customWidth="1"/>
    <col min="7" max="7" width="24.42578125" style="11" hidden="1" customWidth="1"/>
    <col min="8" max="8" width="24.140625" style="2" hidden="1" customWidth="1"/>
    <col min="9" max="9" width="26.28515625" style="2" hidden="1" customWidth="1"/>
    <col min="10" max="10" width="23" style="2" hidden="1" customWidth="1"/>
    <col min="11" max="11" width="21.7109375" style="2" hidden="1" customWidth="1"/>
    <col min="12" max="12" width="25" style="2" hidden="1" customWidth="1"/>
    <col min="13" max="13" width="23.7109375" style="2" hidden="1" customWidth="1"/>
    <col min="14" max="14" width="25.5703125" style="2" hidden="1" customWidth="1"/>
    <col min="15" max="15" width="25" style="2" hidden="1" customWidth="1"/>
    <col min="16" max="16" width="24.7109375" style="2" hidden="1" customWidth="1"/>
    <col min="17" max="17" width="25.42578125" style="2" hidden="1" customWidth="1"/>
    <col min="18" max="18" width="25.28515625" style="2" hidden="1" customWidth="1"/>
    <col min="19" max="16384" width="21.42578125" style="2"/>
  </cols>
  <sheetData>
    <row r="1" spans="2:20" ht="9" customHeight="1" thickBot="1" x14ac:dyDescent="0.25">
      <c r="B1" s="1"/>
      <c r="C1" s="4"/>
      <c r="D1" s="5"/>
      <c r="I1" s="6"/>
    </row>
    <row r="2" spans="2:20" ht="15.95" customHeight="1" thickTop="1" x14ac:dyDescent="0.2">
      <c r="B2" s="15"/>
      <c r="C2" s="16"/>
      <c r="D2" s="17"/>
      <c r="E2"/>
      <c r="F2"/>
      <c r="G2"/>
      <c r="I2" s="7"/>
    </row>
    <row r="3" spans="2:20" ht="23.25" customHeight="1" x14ac:dyDescent="0.2">
      <c r="B3" s="18"/>
      <c r="C3" s="14"/>
      <c r="D3" s="19"/>
      <c r="E3"/>
      <c r="F3"/>
      <c r="G3"/>
      <c r="H3"/>
      <c r="I3"/>
      <c r="J3"/>
      <c r="K3"/>
    </row>
    <row r="4" spans="2:20" ht="15.75" customHeight="1" x14ac:dyDescent="0.25">
      <c r="B4" s="18"/>
      <c r="C4" s="12" t="s">
        <v>26</v>
      </c>
      <c r="D4" s="20"/>
      <c r="E4"/>
      <c r="F4"/>
      <c r="G4"/>
      <c r="H4"/>
      <c r="I4"/>
      <c r="J4"/>
      <c r="K4"/>
    </row>
    <row r="5" spans="2:20" ht="15.95" customHeight="1" x14ac:dyDescent="0.25">
      <c r="B5" s="18"/>
      <c r="C5" s="12" t="s">
        <v>3</v>
      </c>
      <c r="D5" s="20"/>
      <c r="E5"/>
      <c r="F5"/>
      <c r="G5"/>
      <c r="H5"/>
      <c r="I5"/>
      <c r="J5"/>
      <c r="K5"/>
    </row>
    <row r="6" spans="2:20" s="9" customFormat="1" ht="15.95" customHeight="1" x14ac:dyDescent="0.25">
      <c r="B6" s="18"/>
      <c r="C6" s="12" t="s">
        <v>54</v>
      </c>
      <c r="D6" s="37"/>
      <c r="E6"/>
      <c r="F6"/>
      <c r="G6"/>
      <c r="H6"/>
      <c r="I6"/>
      <c r="J6"/>
      <c r="K6"/>
    </row>
    <row r="7" spans="2:20" s="9" customFormat="1" ht="15.95" customHeight="1" x14ac:dyDescent="0.25">
      <c r="B7" s="18"/>
      <c r="C7" s="13" t="s">
        <v>82</v>
      </c>
      <c r="D7" s="23"/>
      <c r="E7"/>
      <c r="F7"/>
      <c r="G7"/>
      <c r="H7"/>
      <c r="I7"/>
      <c r="J7"/>
      <c r="K7"/>
    </row>
    <row r="8" spans="2:20" s="9" customFormat="1" ht="18" customHeight="1" thickBot="1" x14ac:dyDescent="0.3">
      <c r="B8" s="21"/>
      <c r="C8" s="106" t="s">
        <v>55</v>
      </c>
      <c r="D8" s="107">
        <v>42661</v>
      </c>
      <c r="E8"/>
      <c r="F8"/>
      <c r="G8"/>
      <c r="H8"/>
      <c r="I8"/>
      <c r="J8"/>
      <c r="K8"/>
    </row>
    <row r="9" spans="2:20" s="9" customFormat="1" ht="15.95" customHeight="1" thickTop="1" thickBot="1" x14ac:dyDescent="0.25">
      <c r="C9"/>
      <c r="D9"/>
      <c r="E9"/>
      <c r="F9"/>
      <c r="G9"/>
      <c r="H9"/>
      <c r="I9"/>
      <c r="J9"/>
      <c r="K9"/>
    </row>
    <row r="10" spans="2:20" s="9" customFormat="1" ht="42.75" customHeight="1" thickTop="1" thickBot="1" x14ac:dyDescent="0.25">
      <c r="B10" s="140" t="s">
        <v>8</v>
      </c>
      <c r="C10" s="141"/>
      <c r="D10" s="22" t="s">
        <v>20</v>
      </c>
      <c r="E10"/>
      <c r="F10"/>
      <c r="G10"/>
      <c r="P10"/>
      <c r="Q10"/>
    </row>
    <row r="11" spans="2:20" s="9" customFormat="1" ht="30" customHeight="1" thickTop="1" x14ac:dyDescent="0.2">
      <c r="B11" s="142" t="s">
        <v>80</v>
      </c>
      <c r="C11" s="143"/>
      <c r="D11" s="85">
        <v>-93470668.769999996</v>
      </c>
      <c r="E11"/>
      <c r="F11" s="81"/>
      <c r="G11"/>
      <c r="P11"/>
      <c r="Q11"/>
    </row>
    <row r="12" spans="2:20" s="9" customFormat="1" ht="18" customHeight="1" x14ac:dyDescent="0.2">
      <c r="B12" s="92" t="s">
        <v>67</v>
      </c>
      <c r="C12" s="26" t="s">
        <v>106</v>
      </c>
      <c r="D12" s="38">
        <v>0</v>
      </c>
      <c r="E12" s="24"/>
      <c r="F12"/>
      <c r="G12"/>
      <c r="P12"/>
      <c r="Q12"/>
    </row>
    <row r="13" spans="2:20" s="9" customFormat="1" ht="18" customHeight="1" x14ac:dyDescent="0.2">
      <c r="B13" s="132" t="s">
        <v>81</v>
      </c>
      <c r="C13" s="133"/>
      <c r="D13" s="39">
        <f>D11+D12</f>
        <v>-93470668.769999996</v>
      </c>
      <c r="E13"/>
      <c r="F13"/>
      <c r="G13"/>
      <c r="P13"/>
      <c r="Q13"/>
    </row>
    <row r="14" spans="2:20" s="9" customFormat="1" ht="18" customHeight="1" thickBot="1" x14ac:dyDescent="0.25">
      <c r="B14" s="25" t="s">
        <v>66</v>
      </c>
      <c r="C14" s="27"/>
      <c r="D14" s="28"/>
      <c r="E14"/>
      <c r="F14"/>
    </row>
    <row r="15" spans="2:20" s="9" customFormat="1" ht="45.75" customHeight="1" thickBot="1" x14ac:dyDescent="0.25">
      <c r="B15" s="29" t="s">
        <v>46</v>
      </c>
      <c r="C15" s="51" t="s">
        <v>24</v>
      </c>
      <c r="D15" s="30" t="s">
        <v>83</v>
      </c>
      <c r="E15" s="30" t="s">
        <v>178</v>
      </c>
      <c r="F15" s="30" t="s">
        <v>93</v>
      </c>
      <c r="G15" s="29" t="s">
        <v>85</v>
      </c>
      <c r="H15" s="29" t="s">
        <v>86</v>
      </c>
      <c r="I15" s="29" t="s">
        <v>87</v>
      </c>
      <c r="J15" s="29" t="s">
        <v>88</v>
      </c>
      <c r="K15" s="29" t="s">
        <v>89</v>
      </c>
      <c r="L15" s="29" t="s">
        <v>90</v>
      </c>
      <c r="M15" s="29" t="s">
        <v>91</v>
      </c>
      <c r="N15" s="29" t="s">
        <v>92</v>
      </c>
      <c r="O15" s="29" t="s">
        <v>151</v>
      </c>
      <c r="P15" s="29" t="s">
        <v>152</v>
      </c>
      <c r="Q15" s="29" t="s">
        <v>153</v>
      </c>
      <c r="R15" s="29" t="s">
        <v>154</v>
      </c>
    </row>
    <row r="16" spans="2:20" s="9" customFormat="1" ht="18" customHeight="1" x14ac:dyDescent="0.2">
      <c r="B16" s="147" t="s">
        <v>9</v>
      </c>
      <c r="C16" s="40" t="s">
        <v>21</v>
      </c>
      <c r="D16" s="31">
        <f>G16+H16+I16+J16+K16+L16+M16+N16</f>
        <v>1789719898.52</v>
      </c>
      <c r="E16" s="31">
        <f>O16+P16+Q16+R16</f>
        <v>895842402.16000009</v>
      </c>
      <c r="F16" s="31">
        <f>D16+E16</f>
        <v>2685562300.6800003</v>
      </c>
      <c r="G16" s="31">
        <f>SUM(G17:G19)</f>
        <v>224352158.32000002</v>
      </c>
      <c r="H16" s="31">
        <f t="shared" ref="H16:P16" si="0">SUM(H17:H19)</f>
        <v>224566822.00000003</v>
      </c>
      <c r="I16" s="31">
        <f t="shared" si="0"/>
        <v>221166736.35000002</v>
      </c>
      <c r="J16" s="31">
        <f t="shared" si="0"/>
        <v>223237022.00999999</v>
      </c>
      <c r="K16" s="31">
        <f t="shared" si="0"/>
        <v>224606090.43000001</v>
      </c>
      <c r="L16" s="31">
        <f t="shared" si="0"/>
        <v>223034554.60000002</v>
      </c>
      <c r="M16" s="31">
        <f>SUM(M17:M19)</f>
        <v>224920567.47999999</v>
      </c>
      <c r="N16" s="31">
        <f t="shared" si="0"/>
        <v>223835947.33000001</v>
      </c>
      <c r="O16" s="31">
        <f t="shared" si="0"/>
        <v>224514117.97</v>
      </c>
      <c r="P16" s="31">
        <f t="shared" si="0"/>
        <v>224293848.78</v>
      </c>
      <c r="Q16" s="31">
        <f>SUM(Q17:Q19)</f>
        <v>223238874.43000001</v>
      </c>
      <c r="R16" s="31">
        <f>SUM(R17:R19)</f>
        <v>223795560.97999999</v>
      </c>
      <c r="T16" s="99"/>
    </row>
    <row r="17" spans="1:20" s="9" customFormat="1" ht="18" customHeight="1" x14ac:dyDescent="0.2">
      <c r="B17" s="148"/>
      <c r="C17" s="41" t="s">
        <v>6</v>
      </c>
      <c r="D17" s="31">
        <f t="shared" ref="D17:D50" si="1">G17+H17+I17+J17+K17+L17+M17+N17</f>
        <v>1647908387.2000003</v>
      </c>
      <c r="E17" s="31">
        <f t="shared" ref="E17:E50" si="2">O17+P17+Q17+R17</f>
        <v>823954193.60000002</v>
      </c>
      <c r="F17" s="31">
        <f>D17+E17</f>
        <v>2471862580.8000002</v>
      </c>
      <c r="G17" s="32">
        <v>205988548.40000001</v>
      </c>
      <c r="H17" s="32">
        <v>205988548.40000001</v>
      </c>
      <c r="I17" s="32">
        <v>205988548.40000001</v>
      </c>
      <c r="J17" s="32">
        <v>205988548.40000001</v>
      </c>
      <c r="K17" s="32">
        <v>205988548.40000001</v>
      </c>
      <c r="L17" s="32">
        <v>205988548.40000001</v>
      </c>
      <c r="M17" s="32">
        <v>205988548.40000001</v>
      </c>
      <c r="N17" s="32">
        <v>205988548.40000001</v>
      </c>
      <c r="O17" s="32">
        <v>205988548.40000001</v>
      </c>
      <c r="P17" s="32">
        <v>205988548.40000001</v>
      </c>
      <c r="Q17" s="32">
        <v>205988548.40000001</v>
      </c>
      <c r="R17" s="32">
        <v>205988548.40000001</v>
      </c>
    </row>
    <row r="18" spans="1:20" s="9" customFormat="1" ht="18" customHeight="1" x14ac:dyDescent="0.2">
      <c r="A18" s="68"/>
      <c r="B18" s="148"/>
      <c r="C18" s="41" t="s">
        <v>7</v>
      </c>
      <c r="D18" s="31">
        <f>G18+H18+I18+J18+K18+L18+M18+N18</f>
        <v>129958177.2</v>
      </c>
      <c r="E18" s="31">
        <f t="shared" si="2"/>
        <v>65937353.429999992</v>
      </c>
      <c r="F18" s="31">
        <f>D18+E18</f>
        <v>195895530.63</v>
      </c>
      <c r="G18" s="32">
        <v>16882888.649999999</v>
      </c>
      <c r="H18" s="32">
        <v>17097552.329999998</v>
      </c>
      <c r="I18" s="32">
        <v>13697466.68</v>
      </c>
      <c r="J18" s="32">
        <v>15764141.859999999</v>
      </c>
      <c r="K18" s="32">
        <v>17133018.199999999</v>
      </c>
      <c r="L18" s="32">
        <v>15565699.18</v>
      </c>
      <c r="M18" s="32">
        <v>17451608.949999999</v>
      </c>
      <c r="N18" s="32">
        <v>16365801.35</v>
      </c>
      <c r="O18" s="32">
        <v>17044367.48</v>
      </c>
      <c r="P18" s="32">
        <v>16823478.18</v>
      </c>
      <c r="Q18" s="32">
        <v>15754435.26</v>
      </c>
      <c r="R18" s="32">
        <v>16315072.51</v>
      </c>
    </row>
    <row r="19" spans="1:20" s="9" customFormat="1" ht="18" customHeight="1" x14ac:dyDescent="0.2">
      <c r="A19" s="68"/>
      <c r="B19" s="148"/>
      <c r="C19" s="41" t="s">
        <v>29</v>
      </c>
      <c r="D19" s="31">
        <f t="shared" si="1"/>
        <v>11853334.119999999</v>
      </c>
      <c r="E19" s="31">
        <f t="shared" si="2"/>
        <v>5950855.1300000008</v>
      </c>
      <c r="F19" s="31">
        <f>D19+E19</f>
        <v>17804189.25</v>
      </c>
      <c r="G19" s="32">
        <v>1480721.27</v>
      </c>
      <c r="H19" s="32">
        <v>1480721.27</v>
      </c>
      <c r="I19" s="32">
        <v>1480721.27</v>
      </c>
      <c r="J19" s="32">
        <v>1484331.75</v>
      </c>
      <c r="K19" s="32">
        <v>1484523.83</v>
      </c>
      <c r="L19" s="32">
        <v>1480307.02</v>
      </c>
      <c r="M19" s="32">
        <v>1480410.13</v>
      </c>
      <c r="N19" s="32">
        <v>1481597.58</v>
      </c>
      <c r="O19" s="32">
        <v>1481202.09</v>
      </c>
      <c r="P19" s="32">
        <v>1481822.2</v>
      </c>
      <c r="Q19" s="32">
        <v>1495890.77</v>
      </c>
      <c r="R19" s="32">
        <v>1491940.07</v>
      </c>
    </row>
    <row r="20" spans="1:20" s="9" customFormat="1" ht="18" customHeight="1" x14ac:dyDescent="0.2">
      <c r="B20" s="52" t="s">
        <v>10</v>
      </c>
      <c r="C20" s="42" t="s">
        <v>48</v>
      </c>
      <c r="D20" s="31">
        <f t="shared" si="1"/>
        <v>1286190.3799999999</v>
      </c>
      <c r="E20" s="31">
        <f t="shared" si="2"/>
        <v>1402957.51</v>
      </c>
      <c r="F20" s="31">
        <f t="shared" ref="F20:F50" si="3">D20+E20</f>
        <v>2689147.8899999997</v>
      </c>
      <c r="G20" s="31">
        <v>0</v>
      </c>
      <c r="H20" s="31">
        <v>71775</v>
      </c>
      <c r="I20" s="31">
        <v>36390.699999999997</v>
      </c>
      <c r="J20" s="31">
        <v>165937.73000000001</v>
      </c>
      <c r="K20" s="31">
        <v>122320.64</v>
      </c>
      <c r="L20" s="31">
        <v>33260.300000000003</v>
      </c>
      <c r="M20" s="31">
        <v>290177.56</v>
      </c>
      <c r="N20" s="31">
        <v>566328.44999999995</v>
      </c>
      <c r="O20" s="31">
        <v>8626.77</v>
      </c>
      <c r="P20" s="31">
        <v>93810.15</v>
      </c>
      <c r="Q20" s="31">
        <v>62459.519999999997</v>
      </c>
      <c r="R20" s="31">
        <v>1238061.07</v>
      </c>
    </row>
    <row r="21" spans="1:20" s="9" customFormat="1" ht="18" customHeight="1" x14ac:dyDescent="0.2">
      <c r="B21" s="52" t="s">
        <v>11</v>
      </c>
      <c r="C21" s="42" t="s">
        <v>63</v>
      </c>
      <c r="D21" s="31">
        <f t="shared" si="1"/>
        <v>21991083.829999998</v>
      </c>
      <c r="E21" s="31">
        <f t="shared" si="2"/>
        <v>8165906.0100000007</v>
      </c>
      <c r="F21" s="31">
        <f>D21+E21</f>
        <v>30156989.84</v>
      </c>
      <c r="G21" s="31">
        <v>3299893.47</v>
      </c>
      <c r="H21" s="31">
        <v>2917699.3</v>
      </c>
      <c r="I21" s="31">
        <v>2788074.65</v>
      </c>
      <c r="J21" s="31">
        <v>2903332.78</v>
      </c>
      <c r="K21" s="31">
        <v>2697462.36</v>
      </c>
      <c r="L21" s="31">
        <v>2540910.21</v>
      </c>
      <c r="M21" s="31">
        <v>2467157.15</v>
      </c>
      <c r="N21" s="31">
        <v>2376553.91</v>
      </c>
      <c r="O21" s="31">
        <f>88316.59+2034479.04</f>
        <v>2122795.63</v>
      </c>
      <c r="P21" s="31">
        <v>2084234.17</v>
      </c>
      <c r="Q21" s="31">
        <v>1952198.35</v>
      </c>
      <c r="R21" s="31">
        <v>2006677.86</v>
      </c>
    </row>
    <row r="22" spans="1:20" s="9" customFormat="1" ht="18" customHeight="1" x14ac:dyDescent="0.2">
      <c r="B22" s="53" t="s">
        <v>12</v>
      </c>
      <c r="C22" s="43" t="s">
        <v>43</v>
      </c>
      <c r="D22" s="31">
        <f>G22+H22+I22+J22+K22+L22+M22+N22</f>
        <v>10439185.779999999</v>
      </c>
      <c r="E22" s="31">
        <f t="shared" si="2"/>
        <v>2664143.9099999997</v>
      </c>
      <c r="F22" s="31">
        <f>D22+E22</f>
        <v>13103329.689999999</v>
      </c>
      <c r="G22" s="33">
        <f>125870.75+1935749.38</f>
        <v>2061620.13</v>
      </c>
      <c r="H22" s="33">
        <f>95017.31+1330015.89</f>
        <v>1425033.2</v>
      </c>
      <c r="I22" s="33">
        <f>121117.96+1706545.76</f>
        <v>1827663.72</v>
      </c>
      <c r="J22" s="33">
        <f>117043.16+1028128.83</f>
        <v>1145171.99</v>
      </c>
      <c r="K22" s="33">
        <f>34267.84+1155613.82</f>
        <v>1189881.6600000001</v>
      </c>
      <c r="L22" s="33">
        <f>1204993.12</f>
        <v>1204993.1200000001</v>
      </c>
      <c r="M22" s="33">
        <v>937663.79</v>
      </c>
      <c r="N22" s="33">
        <v>647158.17000000004</v>
      </c>
      <c r="O22" s="33">
        <v>572717.64</v>
      </c>
      <c r="P22" s="33">
        <v>529256.88</v>
      </c>
      <c r="Q22" s="33">
        <v>1007207.45</v>
      </c>
      <c r="R22" s="33">
        <v>554961.93999999994</v>
      </c>
    </row>
    <row r="23" spans="1:20" s="48" customFormat="1" ht="18" customHeight="1" x14ac:dyDescent="0.2">
      <c r="B23" s="57" t="s">
        <v>13</v>
      </c>
      <c r="C23" s="42" t="s">
        <v>45</v>
      </c>
      <c r="D23" s="31">
        <f>G23+H23+I23+J23+K23+L23+M23+N23</f>
        <v>-1833183.65</v>
      </c>
      <c r="E23" s="31">
        <f t="shared" si="2"/>
        <v>-252638.64</v>
      </c>
      <c r="F23" s="31">
        <f>D23+E23</f>
        <v>-2085822.29</v>
      </c>
      <c r="G23" s="31">
        <f>0-422407.13</f>
        <v>-422407.13</v>
      </c>
      <c r="H23" s="31">
        <f>0-178682.04</f>
        <v>-178682.04</v>
      </c>
      <c r="I23" s="31">
        <v>-299927.34999999998</v>
      </c>
      <c r="J23" s="31">
        <f>0-297876.4</f>
        <v>-297876.40000000002</v>
      </c>
      <c r="K23" s="31">
        <f>-121805.78-133646.65</f>
        <v>-255452.43</v>
      </c>
      <c r="L23" s="31">
        <v>-144134.87</v>
      </c>
      <c r="M23" s="31">
        <v>-170156.83</v>
      </c>
      <c r="N23" s="31">
        <v>-64546.6</v>
      </c>
      <c r="O23" s="31">
        <v>-74546.460000000006</v>
      </c>
      <c r="P23" s="31">
        <v>-52690.64</v>
      </c>
      <c r="Q23" s="31">
        <v>-103722.09</v>
      </c>
      <c r="R23" s="31">
        <v>-21679.45</v>
      </c>
      <c r="T23" s="99"/>
    </row>
    <row r="24" spans="1:20" s="48" customFormat="1" ht="18" customHeight="1" x14ac:dyDescent="0.2">
      <c r="B24" s="57" t="s">
        <v>14</v>
      </c>
      <c r="C24" s="42" t="s">
        <v>44</v>
      </c>
      <c r="D24" s="31">
        <f>G24+H24+I24+J24+K24+L24+M24+N24</f>
        <v>-3104240.1300000004</v>
      </c>
      <c r="E24" s="31">
        <f t="shared" si="2"/>
        <v>-1298741.31</v>
      </c>
      <c r="F24" s="31">
        <f>D24+E24</f>
        <v>-4402981.4400000004</v>
      </c>
      <c r="G24" s="31">
        <f>0-363365.23</f>
        <v>-363365.23</v>
      </c>
      <c r="H24" s="31">
        <f>0-176886.4</f>
        <v>-176886.39999999999</v>
      </c>
      <c r="I24" s="31">
        <v>-540500.34</v>
      </c>
      <c r="J24" s="31">
        <f>0-319053.11</f>
        <v>-319053.11</v>
      </c>
      <c r="K24" s="31">
        <f>0-303795.78</f>
        <v>-303795.78000000003</v>
      </c>
      <c r="L24" s="31">
        <v>-484325.25</v>
      </c>
      <c r="M24" s="31">
        <v>-590914.21</v>
      </c>
      <c r="N24" s="31">
        <v>-325399.81</v>
      </c>
      <c r="O24" s="31">
        <v>-258856.39</v>
      </c>
      <c r="P24" s="31">
        <v>-296140.94</v>
      </c>
      <c r="Q24" s="31">
        <v>-554624.22</v>
      </c>
      <c r="R24" s="31">
        <v>-189119.76</v>
      </c>
    </row>
    <row r="25" spans="1:20" s="9" customFormat="1" ht="18" customHeight="1" x14ac:dyDescent="0.2">
      <c r="B25" s="52" t="s">
        <v>15</v>
      </c>
      <c r="C25" s="42" t="s">
        <v>38</v>
      </c>
      <c r="D25" s="31">
        <f t="shared" si="1"/>
        <v>0</v>
      </c>
      <c r="E25" s="31">
        <f t="shared" si="2"/>
        <v>0</v>
      </c>
      <c r="F25" s="31">
        <f t="shared" si="3"/>
        <v>0</v>
      </c>
      <c r="G25" s="31">
        <v>0</v>
      </c>
      <c r="H25" s="31">
        <v>0</v>
      </c>
      <c r="I25" s="31">
        <v>0</v>
      </c>
      <c r="J25" s="31">
        <v>0</v>
      </c>
      <c r="K25" s="31">
        <v>0</v>
      </c>
      <c r="L25" s="31">
        <v>0</v>
      </c>
      <c r="M25" s="33">
        <v>0</v>
      </c>
      <c r="N25" s="31">
        <v>0</v>
      </c>
      <c r="O25" s="31">
        <v>0</v>
      </c>
      <c r="P25" s="31">
        <v>0</v>
      </c>
      <c r="Q25" s="31">
        <v>0</v>
      </c>
      <c r="R25" s="31">
        <v>0</v>
      </c>
    </row>
    <row r="26" spans="1:20" s="9" customFormat="1" ht="18" customHeight="1" x14ac:dyDescent="0.2">
      <c r="B26" s="52" t="s">
        <v>2</v>
      </c>
      <c r="C26" s="42" t="s">
        <v>39</v>
      </c>
      <c r="D26" s="31">
        <f t="shared" si="1"/>
        <v>0</v>
      </c>
      <c r="E26" s="31">
        <f t="shared" si="2"/>
        <v>0</v>
      </c>
      <c r="F26" s="31">
        <f t="shared" si="3"/>
        <v>0</v>
      </c>
      <c r="G26" s="31">
        <v>0</v>
      </c>
      <c r="H26" s="31">
        <v>0</v>
      </c>
      <c r="I26" s="31">
        <v>0</v>
      </c>
      <c r="J26" s="31">
        <v>0</v>
      </c>
      <c r="K26" s="31">
        <v>0</v>
      </c>
      <c r="L26" s="31">
        <v>0</v>
      </c>
      <c r="M26" s="31">
        <v>0</v>
      </c>
      <c r="N26" s="31">
        <v>0</v>
      </c>
      <c r="O26" s="31">
        <v>0</v>
      </c>
      <c r="P26" s="31">
        <v>0</v>
      </c>
      <c r="Q26" s="31">
        <v>0</v>
      </c>
      <c r="R26" s="31">
        <v>0</v>
      </c>
    </row>
    <row r="27" spans="1:20" s="9" customFormat="1" ht="18" customHeight="1" x14ac:dyDescent="0.2">
      <c r="B27" s="52" t="s">
        <v>16</v>
      </c>
      <c r="C27" s="42" t="s">
        <v>56</v>
      </c>
      <c r="D27" s="31">
        <f>G27+H27+I27+J27+K27+L27+M27+N27</f>
        <v>0</v>
      </c>
      <c r="E27" s="31">
        <f>O27+P27+Q27+R27</f>
        <v>0</v>
      </c>
      <c r="F27" s="31">
        <f t="shared" si="3"/>
        <v>0</v>
      </c>
      <c r="G27" s="31">
        <v>0</v>
      </c>
      <c r="H27" s="31">
        <v>0</v>
      </c>
      <c r="I27" s="31">
        <v>0</v>
      </c>
      <c r="J27" s="31">
        <v>0</v>
      </c>
      <c r="K27" s="31">
        <v>0</v>
      </c>
      <c r="L27" s="31">
        <v>0</v>
      </c>
      <c r="M27" s="31">
        <v>0</v>
      </c>
      <c r="N27" s="31">
        <v>0</v>
      </c>
      <c r="O27" s="31">
        <v>0</v>
      </c>
      <c r="P27" s="31">
        <v>0</v>
      </c>
      <c r="Q27" s="31">
        <v>0</v>
      </c>
      <c r="R27" s="31">
        <v>0</v>
      </c>
    </row>
    <row r="28" spans="1:20" s="48" customFormat="1" ht="18" customHeight="1" x14ac:dyDescent="0.2">
      <c r="B28" s="149" t="s">
        <v>17</v>
      </c>
      <c r="C28" s="86" t="s">
        <v>98</v>
      </c>
      <c r="D28" s="31">
        <f>G28+H28+I28+J28+K28+L28+M28+N28</f>
        <v>7213.19</v>
      </c>
      <c r="E28" s="31">
        <f>O28+P28+Q28+R28</f>
        <v>63299274.420000002</v>
      </c>
      <c r="F28" s="31">
        <f>D28+E28</f>
        <v>63306487.609999999</v>
      </c>
      <c r="G28" s="31">
        <v>0</v>
      </c>
      <c r="H28" s="31">
        <v>7213.19</v>
      </c>
      <c r="I28" s="31">
        <v>0</v>
      </c>
      <c r="J28" s="31">
        <v>0</v>
      </c>
      <c r="K28" s="31">
        <v>0</v>
      </c>
      <c r="L28" s="31">
        <v>0</v>
      </c>
      <c r="M28" s="31">
        <v>0</v>
      </c>
      <c r="N28" s="31">
        <v>0</v>
      </c>
      <c r="O28" s="31">
        <f>63284338.29+14936.13</f>
        <v>63299274.420000002</v>
      </c>
      <c r="P28" s="31">
        <v>0</v>
      </c>
      <c r="Q28" s="31">
        <v>0</v>
      </c>
      <c r="R28" s="31">
        <v>0</v>
      </c>
    </row>
    <row r="29" spans="1:20" s="48" customFormat="1" ht="18" customHeight="1" x14ac:dyDescent="0.2">
      <c r="B29" s="150"/>
      <c r="C29" s="86" t="s">
        <v>99</v>
      </c>
      <c r="D29" s="31">
        <f t="shared" si="1"/>
        <v>-346306728.32999998</v>
      </c>
      <c r="E29" s="31">
        <f t="shared" si="2"/>
        <v>-56374158.560000002</v>
      </c>
      <c r="F29" s="31">
        <f t="shared" si="3"/>
        <v>-402680886.88999999</v>
      </c>
      <c r="G29" s="31">
        <v>-25493359.280000001</v>
      </c>
      <c r="H29" s="31">
        <v>-56774151.640000001</v>
      </c>
      <c r="I29" s="31">
        <v>-74187772.739999995</v>
      </c>
      <c r="J29" s="31">
        <v>-59176163.789999999</v>
      </c>
      <c r="K29" s="31">
        <v>-39347657.93</v>
      </c>
      <c r="L29" s="31">
        <v>-91327622.950000003</v>
      </c>
      <c r="M29" s="31">
        <v>0</v>
      </c>
      <c r="N29" s="31">
        <v>0</v>
      </c>
      <c r="O29" s="31">
        <v>0</v>
      </c>
      <c r="P29" s="31">
        <v>-31462498.079999998</v>
      </c>
      <c r="Q29" s="31">
        <v>-13953274.699999999</v>
      </c>
      <c r="R29" s="31">
        <v>-10958385.779999999</v>
      </c>
    </row>
    <row r="30" spans="1:20" s="9" customFormat="1" ht="18" customHeight="1" x14ac:dyDescent="0.2">
      <c r="B30" s="144" t="s">
        <v>4</v>
      </c>
      <c r="C30" s="44" t="s">
        <v>22</v>
      </c>
      <c r="D30" s="31">
        <f>G30+H30+I30+J30+K30+L30+M30+N30</f>
        <v>-1751519217.8299999</v>
      </c>
      <c r="E30" s="31">
        <f t="shared" si="2"/>
        <v>-825063047.20000005</v>
      </c>
      <c r="F30" s="31">
        <f t="shared" si="3"/>
        <v>-2576582265.0299997</v>
      </c>
      <c r="G30" s="31">
        <f>SUM(G31:G35)</f>
        <v>-201521609.51999998</v>
      </c>
      <c r="H30" s="31">
        <f t="shared" ref="H30:R30" si="4">SUM(H31:H35)</f>
        <v>-216562205.65000001</v>
      </c>
      <c r="I30" s="31">
        <f t="shared" si="4"/>
        <v>-210386289.87</v>
      </c>
      <c r="J30" s="31">
        <f t="shared" si="4"/>
        <v>-210386289.88</v>
      </c>
      <c r="K30" s="31">
        <f t="shared" si="4"/>
        <v>-210431125.61000001</v>
      </c>
      <c r="L30" s="31">
        <f>SUM(L31:L35)</f>
        <v>-215848898.86000001</v>
      </c>
      <c r="M30" s="31">
        <f t="shared" si="4"/>
        <v>-216784289.34</v>
      </c>
      <c r="N30" s="31">
        <f t="shared" si="4"/>
        <v>-269598509.10000002</v>
      </c>
      <c r="O30" s="31">
        <f t="shared" si="4"/>
        <v>-206265761.80000001</v>
      </c>
      <c r="P30" s="31">
        <f t="shared" si="4"/>
        <v>-206265761.80000001</v>
      </c>
      <c r="Q30" s="31">
        <f>SUM(Q31:Q35)</f>
        <v>-206265761.80000001</v>
      </c>
      <c r="R30" s="31">
        <f t="shared" si="4"/>
        <v>-206265761.80000001</v>
      </c>
    </row>
    <row r="31" spans="1:20" s="9" customFormat="1" ht="18" customHeight="1" x14ac:dyDescent="0.2">
      <c r="B31" s="145"/>
      <c r="C31" s="41" t="s">
        <v>25</v>
      </c>
      <c r="D31" s="31">
        <f t="shared" si="1"/>
        <v>-135973274.62</v>
      </c>
      <c r="E31" s="31">
        <f t="shared" si="2"/>
        <v>-69740015.400000006</v>
      </c>
      <c r="F31" s="31">
        <f t="shared" si="3"/>
        <v>-205713290.02000001</v>
      </c>
      <c r="G31" s="34">
        <v>-15033782.189999999</v>
      </c>
      <c r="H31" s="34">
        <v>-18444346.210000001</v>
      </c>
      <c r="I31" s="34">
        <v>-16739064.199999999</v>
      </c>
      <c r="J31" s="34">
        <v>-16739064.199999999</v>
      </c>
      <c r="K31" s="34">
        <v>-16739064.199999999</v>
      </c>
      <c r="L31" s="34">
        <v>-17412372.48</v>
      </c>
      <c r="M31" s="34">
        <v>-17432790.57</v>
      </c>
      <c r="N31" s="34">
        <v>-17432790.57</v>
      </c>
      <c r="O31" s="34">
        <v>-17435003.850000001</v>
      </c>
      <c r="P31" s="34">
        <v>-17435003.850000001</v>
      </c>
      <c r="Q31" s="34">
        <v>-17435003.850000001</v>
      </c>
      <c r="R31" s="34">
        <v>-17435003.850000001</v>
      </c>
      <c r="S31" s="48"/>
    </row>
    <row r="32" spans="1:20" s="9" customFormat="1" ht="18" customHeight="1" x14ac:dyDescent="0.2">
      <c r="B32" s="145"/>
      <c r="C32" s="41" t="s">
        <v>103</v>
      </c>
      <c r="D32" s="31">
        <f t="shared" si="1"/>
        <v>-545736113.94000006</v>
      </c>
      <c r="E32" s="31">
        <f t="shared" si="2"/>
        <v>-279149345.95999998</v>
      </c>
      <c r="F32" s="31">
        <f t="shared" si="3"/>
        <v>-824885459.9000001</v>
      </c>
      <c r="G32" s="34">
        <v>-70554997.599999994</v>
      </c>
      <c r="H32" s="34">
        <v>-63807777.18</v>
      </c>
      <c r="I32" s="34">
        <v>-67356062.439999998</v>
      </c>
      <c r="J32" s="34">
        <v>-67356062.439999998</v>
      </c>
      <c r="K32" s="34">
        <v>-67356062.439999998</v>
      </c>
      <c r="L32" s="34">
        <v>-69522302.900000006</v>
      </c>
      <c r="M32" s="34">
        <v>-69750395.799999997</v>
      </c>
      <c r="N32" s="34">
        <v>-70032453.140000001</v>
      </c>
      <c r="O32" s="34">
        <v>-69787336.489999995</v>
      </c>
      <c r="P32" s="34">
        <v>-69787336.489999995</v>
      </c>
      <c r="Q32" s="34">
        <v>-69787336.489999995</v>
      </c>
      <c r="R32" s="34">
        <v>-69787336.489999995</v>
      </c>
    </row>
    <row r="33" spans="2:18" s="9" customFormat="1" ht="18" customHeight="1" x14ac:dyDescent="0.2">
      <c r="B33" s="145"/>
      <c r="C33" s="41" t="s">
        <v>150</v>
      </c>
      <c r="D33" s="31">
        <f t="shared" si="1"/>
        <v>-51844776.189999998</v>
      </c>
      <c r="E33" s="31">
        <f t="shared" si="2"/>
        <v>44722210.119999997</v>
      </c>
      <c r="F33" s="31">
        <f t="shared" si="3"/>
        <v>-7122566.0700000003</v>
      </c>
      <c r="G33" s="34">
        <v>0</v>
      </c>
      <c r="H33" s="34">
        <v>0</v>
      </c>
      <c r="I33" s="34">
        <v>0</v>
      </c>
      <c r="J33" s="34">
        <v>0</v>
      </c>
      <c r="K33" s="34">
        <v>0</v>
      </c>
      <c r="L33" s="34">
        <v>0</v>
      </c>
      <c r="M33" s="34">
        <v>0</v>
      </c>
      <c r="N33" s="34">
        <v>-51844776.189999998</v>
      </c>
      <c r="O33" s="34">
        <v>11180552.529999999</v>
      </c>
      <c r="P33" s="34">
        <v>11180552.529999999</v>
      </c>
      <c r="Q33" s="34">
        <v>11180552.529999999</v>
      </c>
      <c r="R33" s="34">
        <v>11180552.529999999</v>
      </c>
    </row>
    <row r="34" spans="2:18" s="9" customFormat="1" ht="18" customHeight="1" x14ac:dyDescent="0.2">
      <c r="B34" s="145"/>
      <c r="C34" s="41" t="s">
        <v>104</v>
      </c>
      <c r="D34" s="31">
        <f t="shared" si="1"/>
        <v>-125821445.40000001</v>
      </c>
      <c r="E34" s="31">
        <f t="shared" si="2"/>
        <v>-64013155.920000002</v>
      </c>
      <c r="F34" s="31">
        <f t="shared" si="3"/>
        <v>-189834601.31999999</v>
      </c>
      <c r="G34" s="34">
        <v>-14847294.17</v>
      </c>
      <c r="H34" s="34">
        <v>-16366453.9</v>
      </c>
      <c r="I34" s="34">
        <v>-15606874.029999999</v>
      </c>
      <c r="J34" s="34">
        <v>-15606874.039999999</v>
      </c>
      <c r="K34" s="34">
        <v>-15651709.77</v>
      </c>
      <c r="L34" s="34">
        <v>-15849501.869999999</v>
      </c>
      <c r="M34" s="34">
        <v>-15925230.5</v>
      </c>
      <c r="N34" s="34">
        <v>-15967507.119999999</v>
      </c>
      <c r="O34" s="34">
        <v>-16003288.98</v>
      </c>
      <c r="P34" s="34">
        <v>-16003288.98</v>
      </c>
      <c r="Q34" s="34">
        <v>-16003288.98</v>
      </c>
      <c r="R34" s="34">
        <v>-16003288.98</v>
      </c>
    </row>
    <row r="35" spans="2:18" s="9" customFormat="1" ht="18" customHeight="1" x14ac:dyDescent="0.2">
      <c r="B35" s="146"/>
      <c r="C35" s="41" t="s">
        <v>105</v>
      </c>
      <c r="D35" s="31">
        <f t="shared" si="1"/>
        <v>-892143607.68000007</v>
      </c>
      <c r="E35" s="31">
        <f t="shared" si="2"/>
        <v>-456882740.04000002</v>
      </c>
      <c r="F35" s="31">
        <f t="shared" si="3"/>
        <v>-1349026347.72</v>
      </c>
      <c r="G35" s="34">
        <v>-101085535.56</v>
      </c>
      <c r="H35" s="34">
        <v>-117943628.36</v>
      </c>
      <c r="I35" s="34">
        <v>-110684289.2</v>
      </c>
      <c r="J35" s="34">
        <v>-110684289.2</v>
      </c>
      <c r="K35" s="34">
        <v>-110684289.2</v>
      </c>
      <c r="L35" s="34">
        <v>-113064721.61</v>
      </c>
      <c r="M35" s="34">
        <v>-113675872.47</v>
      </c>
      <c r="N35" s="34">
        <v>-114320982.08</v>
      </c>
      <c r="O35" s="34">
        <v>-114220685.01000001</v>
      </c>
      <c r="P35" s="34">
        <v>-114220685.01000001</v>
      </c>
      <c r="Q35" s="34">
        <v>-114220685.01000001</v>
      </c>
      <c r="R35" s="34">
        <v>-114220685.01000001</v>
      </c>
    </row>
    <row r="36" spans="2:18" s="9" customFormat="1" ht="18" customHeight="1" x14ac:dyDescent="0.2">
      <c r="B36" s="52" t="s">
        <v>5</v>
      </c>
      <c r="C36" s="42" t="s">
        <v>64</v>
      </c>
      <c r="D36" s="31">
        <f t="shared" si="1"/>
        <v>1832438.21</v>
      </c>
      <c r="E36" s="31">
        <f t="shared" si="2"/>
        <v>0</v>
      </c>
      <c r="F36" s="31">
        <f t="shared" si="3"/>
        <v>1832438.21</v>
      </c>
      <c r="G36" s="31">
        <v>515447.19</v>
      </c>
      <c r="H36" s="31">
        <v>161548.84</v>
      </c>
      <c r="I36" s="31">
        <v>253381.38</v>
      </c>
      <c r="J36" s="31">
        <v>246961.35</v>
      </c>
      <c r="K36" s="31">
        <v>310492.71000000002</v>
      </c>
      <c r="L36" s="31">
        <v>102575.7</v>
      </c>
      <c r="M36" s="31">
        <v>119472.5</v>
      </c>
      <c r="N36" s="31">
        <v>122558.54</v>
      </c>
      <c r="O36" s="31">
        <v>0</v>
      </c>
      <c r="P36" s="31">
        <v>0</v>
      </c>
      <c r="Q36" s="31">
        <v>0</v>
      </c>
      <c r="R36" s="31">
        <v>0</v>
      </c>
    </row>
    <row r="37" spans="2:18" s="9" customFormat="1" ht="18" customHeight="1" x14ac:dyDescent="0.2">
      <c r="B37" s="94" t="s">
        <v>27</v>
      </c>
      <c r="C37" s="42" t="s">
        <v>112</v>
      </c>
      <c r="D37" s="31">
        <f>G37+H37+I37+J37+K37+L37+M37+N37</f>
        <v>-376133.84</v>
      </c>
      <c r="E37" s="31">
        <f t="shared" si="2"/>
        <v>0</v>
      </c>
      <c r="F37" s="31">
        <f t="shared" si="3"/>
        <v>-376133.84</v>
      </c>
      <c r="G37" s="31">
        <v>0</v>
      </c>
      <c r="H37" s="31">
        <v>0</v>
      </c>
      <c r="I37" s="31">
        <v>0</v>
      </c>
      <c r="J37" s="31">
        <v>0</v>
      </c>
      <c r="K37" s="31">
        <v>0</v>
      </c>
      <c r="L37" s="31">
        <v>0</v>
      </c>
      <c r="M37" s="31">
        <v>0</v>
      </c>
      <c r="N37" s="31">
        <v>-376133.84</v>
      </c>
      <c r="O37" s="31">
        <v>0</v>
      </c>
      <c r="P37" s="31">
        <v>0</v>
      </c>
      <c r="Q37" s="31">
        <v>0</v>
      </c>
      <c r="R37" s="31">
        <v>0</v>
      </c>
    </row>
    <row r="38" spans="2:18" s="9" customFormat="1" ht="18" customHeight="1" x14ac:dyDescent="0.2">
      <c r="B38" s="94" t="s">
        <v>28</v>
      </c>
      <c r="C38" s="42" t="s">
        <v>113</v>
      </c>
      <c r="D38" s="31">
        <f>G38+H38+I38+J38+K38+L38+M38+N38</f>
        <v>-1099625.3500000001</v>
      </c>
      <c r="E38" s="31">
        <f t="shared" si="2"/>
        <v>0</v>
      </c>
      <c r="F38" s="31">
        <f t="shared" si="3"/>
        <v>-1099625.3500000001</v>
      </c>
      <c r="G38" s="31">
        <v>0</v>
      </c>
      <c r="H38" s="31">
        <v>0</v>
      </c>
      <c r="I38" s="31">
        <v>0</v>
      </c>
      <c r="J38" s="31">
        <v>0</v>
      </c>
      <c r="K38" s="31">
        <v>0</v>
      </c>
      <c r="L38" s="31">
        <v>0</v>
      </c>
      <c r="M38" s="31">
        <v>0</v>
      </c>
      <c r="N38" s="31">
        <v>-1099625.3500000001</v>
      </c>
      <c r="O38" s="31">
        <v>0</v>
      </c>
      <c r="P38" s="31">
        <v>0</v>
      </c>
      <c r="Q38" s="31">
        <v>0</v>
      </c>
      <c r="R38" s="31">
        <v>0</v>
      </c>
    </row>
    <row r="39" spans="2:18" s="8" customFormat="1" ht="18" customHeight="1" x14ac:dyDescent="0.2">
      <c r="B39" s="52" t="s">
        <v>30</v>
      </c>
      <c r="C39" s="42" t="s">
        <v>0</v>
      </c>
      <c r="D39" s="31">
        <f>G39+H39+I39+J39+K39+L39+M39+N39</f>
        <v>12399415.350000001</v>
      </c>
      <c r="E39" s="31">
        <f t="shared" si="2"/>
        <v>20907267.060000002</v>
      </c>
      <c r="F39" s="31">
        <f t="shared" si="3"/>
        <v>33306682.410000004</v>
      </c>
      <c r="G39" s="31">
        <v>-2811848.85</v>
      </c>
      <c r="H39" s="31">
        <v>-206860.2</v>
      </c>
      <c r="I39" s="31">
        <v>2167957.44</v>
      </c>
      <c r="J39" s="31">
        <v>2375271.85</v>
      </c>
      <c r="K39" s="31">
        <v>5226068.7300000004</v>
      </c>
      <c r="L39" s="31">
        <v>-1954075.84</v>
      </c>
      <c r="M39" s="31">
        <v>1569264.76</v>
      </c>
      <c r="N39" s="31">
        <v>6033637.46</v>
      </c>
      <c r="O39" s="31">
        <v>1384255.97</v>
      </c>
      <c r="P39" s="31">
        <v>-1179078.3</v>
      </c>
      <c r="Q39" s="31">
        <v>-5921371.3399999999</v>
      </c>
      <c r="R39" s="31">
        <v>26623460.73</v>
      </c>
    </row>
    <row r="40" spans="2:18" s="8" customFormat="1" ht="18" customHeight="1" x14ac:dyDescent="0.2">
      <c r="B40" s="52" t="s">
        <v>32</v>
      </c>
      <c r="C40" s="42" t="s">
        <v>1</v>
      </c>
      <c r="D40" s="31">
        <f t="shared" si="1"/>
        <v>2718804.71</v>
      </c>
      <c r="E40" s="31">
        <f t="shared" si="2"/>
        <v>4592670.290000001</v>
      </c>
      <c r="F40" s="31">
        <f t="shared" si="3"/>
        <v>7311475.0000000009</v>
      </c>
      <c r="G40" s="31">
        <v>-610467.18000000005</v>
      </c>
      <c r="H40" s="31">
        <v>-44910.44</v>
      </c>
      <c r="I40" s="31">
        <v>470674.97</v>
      </c>
      <c r="J40" s="31">
        <v>515684.02</v>
      </c>
      <c r="K40" s="31">
        <v>1134607.03</v>
      </c>
      <c r="L40" s="31">
        <v>-424240.15</v>
      </c>
      <c r="M40" s="31">
        <v>360352.84</v>
      </c>
      <c r="N40" s="31">
        <v>1317103.6200000001</v>
      </c>
      <c r="O40" s="31">
        <v>305372.74</v>
      </c>
      <c r="P40" s="31">
        <v>-237215.44</v>
      </c>
      <c r="Q40" s="31">
        <v>-1270426.24</v>
      </c>
      <c r="R40" s="31">
        <v>5794939.2300000004</v>
      </c>
    </row>
    <row r="41" spans="2:18" s="8" customFormat="1" ht="18" customHeight="1" x14ac:dyDescent="0.2">
      <c r="B41" s="52" t="s">
        <v>33</v>
      </c>
      <c r="C41" s="42" t="s">
        <v>23</v>
      </c>
      <c r="D41" s="31">
        <f t="shared" si="1"/>
        <v>-763483.30999999994</v>
      </c>
      <c r="E41" s="31">
        <f t="shared" si="2"/>
        <v>-378089.01</v>
      </c>
      <c r="F41" s="31">
        <f t="shared" si="3"/>
        <v>-1141572.3199999998</v>
      </c>
      <c r="G41" s="31">
        <v>-95559.97</v>
      </c>
      <c r="H41" s="31">
        <v>-95015.43</v>
      </c>
      <c r="I41" s="31">
        <v>-94974.26</v>
      </c>
      <c r="J41" s="31">
        <v>-93999.88</v>
      </c>
      <c r="K41" s="31">
        <v>-95786.23</v>
      </c>
      <c r="L41" s="31">
        <v>-95778.2</v>
      </c>
      <c r="M41" s="31">
        <v>-96010.6</v>
      </c>
      <c r="N41" s="31">
        <v>-96358.74</v>
      </c>
      <c r="O41" s="31">
        <v>-96357.83</v>
      </c>
      <c r="P41" s="31">
        <v>-95324.61</v>
      </c>
      <c r="Q41" s="31">
        <v>-93194.61</v>
      </c>
      <c r="R41" s="31">
        <v>-93211.96</v>
      </c>
    </row>
    <row r="42" spans="2:18" s="8" customFormat="1" ht="15.75" x14ac:dyDescent="0.2">
      <c r="B42" s="52" t="s">
        <v>34</v>
      </c>
      <c r="C42" s="42" t="s">
        <v>18</v>
      </c>
      <c r="D42" s="31">
        <f t="shared" si="1"/>
        <v>-10768263.039999999</v>
      </c>
      <c r="E42" s="31">
        <f t="shared" si="2"/>
        <v>-5384131.5199999996</v>
      </c>
      <c r="F42" s="31">
        <f>D42+E42</f>
        <v>-16152394.559999999</v>
      </c>
      <c r="G42" s="31">
        <v>-1346032.88</v>
      </c>
      <c r="H42" s="31">
        <v>-1346032.88</v>
      </c>
      <c r="I42" s="31">
        <v>-1346032.88</v>
      </c>
      <c r="J42" s="31">
        <v>-1346032.88</v>
      </c>
      <c r="K42" s="31">
        <v>-1346032.88</v>
      </c>
      <c r="L42" s="31">
        <v>-1346032.88</v>
      </c>
      <c r="M42" s="31">
        <v>-1346032.88</v>
      </c>
      <c r="N42" s="31">
        <v>-1346032.88</v>
      </c>
      <c r="O42" s="31">
        <v>-1346032.88</v>
      </c>
      <c r="P42" s="31">
        <v>-1346032.88</v>
      </c>
      <c r="Q42" s="31">
        <v>-1346032.88</v>
      </c>
      <c r="R42" s="31">
        <v>-1346032.88</v>
      </c>
    </row>
    <row r="43" spans="2:18" s="8" customFormat="1" ht="18" customHeight="1" x14ac:dyDescent="0.2">
      <c r="B43" s="52" t="s">
        <v>35</v>
      </c>
      <c r="C43" s="42" t="s">
        <v>62</v>
      </c>
      <c r="D43" s="31">
        <f t="shared" si="1"/>
        <v>0</v>
      </c>
      <c r="E43" s="31">
        <f t="shared" si="2"/>
        <v>0</v>
      </c>
      <c r="F43" s="31">
        <f t="shared" si="3"/>
        <v>0</v>
      </c>
      <c r="G43" s="31">
        <v>0</v>
      </c>
      <c r="H43" s="31">
        <v>0</v>
      </c>
      <c r="I43" s="31">
        <v>0</v>
      </c>
      <c r="J43" s="31">
        <v>0</v>
      </c>
      <c r="K43" s="31">
        <v>0</v>
      </c>
      <c r="L43" s="31">
        <v>0</v>
      </c>
      <c r="M43" s="31">
        <v>0</v>
      </c>
      <c r="N43" s="31">
        <v>0</v>
      </c>
      <c r="O43" s="31">
        <v>0</v>
      </c>
      <c r="P43" s="31">
        <v>0</v>
      </c>
      <c r="Q43" s="31">
        <v>0</v>
      </c>
      <c r="R43" s="31">
        <v>0</v>
      </c>
    </row>
    <row r="44" spans="2:18" s="8" customFormat="1" ht="18" customHeight="1" x14ac:dyDescent="0.2">
      <c r="B44" s="52" t="s">
        <v>36</v>
      </c>
      <c r="C44" s="42" t="s">
        <v>42</v>
      </c>
      <c r="D44" s="31">
        <f t="shared" si="1"/>
        <v>0</v>
      </c>
      <c r="E44" s="31">
        <f t="shared" si="2"/>
        <v>0</v>
      </c>
      <c r="F44" s="31">
        <f t="shared" si="3"/>
        <v>0</v>
      </c>
      <c r="G44" s="31">
        <v>0</v>
      </c>
      <c r="H44" s="31">
        <v>0</v>
      </c>
      <c r="I44" s="31">
        <v>0</v>
      </c>
      <c r="J44" s="31">
        <v>0</v>
      </c>
      <c r="K44" s="31">
        <v>0</v>
      </c>
      <c r="L44" s="31">
        <v>0</v>
      </c>
      <c r="M44" s="31">
        <v>0</v>
      </c>
      <c r="N44" s="31">
        <v>0</v>
      </c>
      <c r="O44" s="31">
        <v>0</v>
      </c>
      <c r="P44" s="31">
        <v>0</v>
      </c>
      <c r="Q44" s="31">
        <v>0</v>
      </c>
      <c r="R44" s="31">
        <v>0</v>
      </c>
    </row>
    <row r="45" spans="2:18" s="8" customFormat="1" ht="18" customHeight="1" x14ac:dyDescent="0.2">
      <c r="B45" s="52" t="s">
        <v>37</v>
      </c>
      <c r="C45" s="42" t="s">
        <v>65</v>
      </c>
      <c r="D45" s="31">
        <f t="shared" si="1"/>
        <v>0</v>
      </c>
      <c r="E45" s="31">
        <f t="shared" si="2"/>
        <v>0</v>
      </c>
      <c r="F45" s="31">
        <f t="shared" si="3"/>
        <v>0</v>
      </c>
      <c r="G45" s="31">
        <v>0</v>
      </c>
      <c r="H45" s="31">
        <v>0</v>
      </c>
      <c r="I45" s="31">
        <v>0</v>
      </c>
      <c r="J45" s="31">
        <v>0</v>
      </c>
      <c r="K45" s="31">
        <v>0</v>
      </c>
      <c r="L45" s="31">
        <v>0</v>
      </c>
      <c r="M45" s="31">
        <v>0</v>
      </c>
      <c r="N45" s="31">
        <v>0</v>
      </c>
      <c r="O45" s="31">
        <v>0</v>
      </c>
      <c r="P45" s="31">
        <v>0</v>
      </c>
      <c r="Q45" s="31">
        <v>0</v>
      </c>
      <c r="R45" s="31">
        <v>0</v>
      </c>
    </row>
    <row r="46" spans="2:18" s="8" customFormat="1" ht="18" customHeight="1" x14ac:dyDescent="0.2">
      <c r="B46" s="52" t="s">
        <v>40</v>
      </c>
      <c r="C46" s="42" t="s">
        <v>19</v>
      </c>
      <c r="D46" s="31">
        <f t="shared" si="1"/>
        <v>0</v>
      </c>
      <c r="E46" s="31">
        <f t="shared" si="2"/>
        <v>0</v>
      </c>
      <c r="F46" s="31">
        <f t="shared" si="3"/>
        <v>0</v>
      </c>
      <c r="G46" s="31">
        <v>0</v>
      </c>
      <c r="H46" s="31">
        <v>0</v>
      </c>
      <c r="I46" s="31">
        <v>0</v>
      </c>
      <c r="J46" s="31">
        <v>0</v>
      </c>
      <c r="K46" s="31">
        <v>0</v>
      </c>
      <c r="L46" s="31">
        <v>0</v>
      </c>
      <c r="M46" s="31">
        <v>0</v>
      </c>
      <c r="N46" s="31">
        <v>0</v>
      </c>
      <c r="O46" s="31">
        <v>0</v>
      </c>
      <c r="P46" s="31">
        <v>0</v>
      </c>
      <c r="Q46" s="31">
        <v>0</v>
      </c>
      <c r="R46" s="31">
        <v>0</v>
      </c>
    </row>
    <row r="47" spans="2:18" s="48" customFormat="1" ht="18" customHeight="1" x14ac:dyDescent="0.2">
      <c r="B47" s="91" t="s">
        <v>41</v>
      </c>
      <c r="C47" s="89" t="s">
        <v>102</v>
      </c>
      <c r="D47" s="88">
        <f t="shared" si="1"/>
        <v>-9921324.9600000009</v>
      </c>
      <c r="E47" s="31">
        <f t="shared" si="2"/>
        <v>-307233233.17000002</v>
      </c>
      <c r="F47" s="31">
        <f t="shared" si="3"/>
        <v>-317154558.13</v>
      </c>
      <c r="G47" s="31">
        <v>0</v>
      </c>
      <c r="H47" s="31">
        <v>0</v>
      </c>
      <c r="I47" s="31">
        <v>0</v>
      </c>
      <c r="J47" s="31">
        <v>-9921324.9600000009</v>
      </c>
      <c r="K47" s="31">
        <v>0</v>
      </c>
      <c r="L47" s="31">
        <v>0</v>
      </c>
      <c r="M47" s="31">
        <v>0</v>
      </c>
      <c r="N47" s="31">
        <v>0</v>
      </c>
      <c r="O47" s="31">
        <v>0</v>
      </c>
      <c r="P47" s="31">
        <v>0</v>
      </c>
      <c r="Q47" s="31">
        <v>0</v>
      </c>
      <c r="R47" s="31">
        <v>-307233233.17000002</v>
      </c>
    </row>
    <row r="48" spans="2:18" s="8" customFormat="1" ht="18" customHeight="1" x14ac:dyDescent="0.2">
      <c r="B48" s="54" t="s">
        <v>110</v>
      </c>
      <c r="C48" s="64" t="s">
        <v>31</v>
      </c>
      <c r="D48" s="31">
        <f t="shared" si="1"/>
        <v>0</v>
      </c>
      <c r="E48" s="31">
        <f t="shared" si="2"/>
        <v>0</v>
      </c>
      <c r="F48" s="31">
        <f t="shared" si="3"/>
        <v>0</v>
      </c>
      <c r="G48" s="35">
        <v>0</v>
      </c>
      <c r="H48" s="35">
        <v>0</v>
      </c>
      <c r="I48" s="35">
        <v>0</v>
      </c>
      <c r="J48" s="35">
        <v>0</v>
      </c>
      <c r="K48" s="35">
        <v>0</v>
      </c>
      <c r="L48" s="35">
        <v>0</v>
      </c>
      <c r="M48" s="35">
        <v>0</v>
      </c>
      <c r="N48" s="35">
        <v>0</v>
      </c>
      <c r="O48" s="35">
        <v>0</v>
      </c>
      <c r="P48" s="35">
        <v>0</v>
      </c>
      <c r="Q48" s="35">
        <v>0</v>
      </c>
      <c r="R48" s="35">
        <v>0</v>
      </c>
    </row>
    <row r="49" spans="2:19" s="8" customFormat="1" ht="18" customHeight="1" thickBot="1" x14ac:dyDescent="0.25">
      <c r="B49" s="90" t="s">
        <v>111</v>
      </c>
      <c r="C49" s="89" t="s">
        <v>50</v>
      </c>
      <c r="D49" s="88">
        <f t="shared" si="1"/>
        <v>-413857.35</v>
      </c>
      <c r="E49" s="31">
        <f t="shared" si="2"/>
        <v>0</v>
      </c>
      <c r="F49" s="31">
        <f t="shared" si="3"/>
        <v>-413857.35</v>
      </c>
      <c r="G49" s="45">
        <v>0</v>
      </c>
      <c r="H49" s="45">
        <v>0</v>
      </c>
      <c r="I49" s="45">
        <v>0</v>
      </c>
      <c r="J49" s="45">
        <v>0</v>
      </c>
      <c r="K49" s="45">
        <v>-6938.31</v>
      </c>
      <c r="L49" s="45">
        <v>0</v>
      </c>
      <c r="M49" s="45">
        <f>-383267.85-23651.19</f>
        <v>-406919.04</v>
      </c>
      <c r="N49" s="45">
        <v>0</v>
      </c>
      <c r="O49" s="45">
        <v>0</v>
      </c>
      <c r="P49" s="45">
        <v>0</v>
      </c>
      <c r="Q49" s="45">
        <v>0</v>
      </c>
      <c r="R49" s="45">
        <v>0</v>
      </c>
    </row>
    <row r="50" spans="2:19" s="8" customFormat="1" ht="18" customHeight="1" thickTop="1" thickBot="1" x14ac:dyDescent="0.25">
      <c r="B50" s="90" t="s">
        <v>141</v>
      </c>
      <c r="C50" s="89" t="s">
        <v>142</v>
      </c>
      <c r="D50" s="88">
        <f t="shared" si="1"/>
        <v>0</v>
      </c>
      <c r="E50" s="31">
        <f t="shared" si="2"/>
        <v>0</v>
      </c>
      <c r="F50" s="31">
        <f t="shared" si="3"/>
        <v>0</v>
      </c>
      <c r="G50" s="45">
        <v>0</v>
      </c>
      <c r="H50" s="45">
        <v>0</v>
      </c>
      <c r="I50" s="45">
        <v>0</v>
      </c>
      <c r="J50" s="45">
        <v>0</v>
      </c>
      <c r="K50" s="45">
        <v>0</v>
      </c>
      <c r="L50" s="45">
        <v>0</v>
      </c>
      <c r="M50" s="45">
        <v>0</v>
      </c>
      <c r="N50" s="45">
        <v>0</v>
      </c>
      <c r="O50" s="45">
        <v>0</v>
      </c>
      <c r="P50" s="45">
        <v>0</v>
      </c>
      <c r="Q50" s="45">
        <v>0</v>
      </c>
      <c r="R50" s="31">
        <v>0</v>
      </c>
    </row>
    <row r="51" spans="2:19" s="8" customFormat="1" ht="51.75" customHeight="1" thickTop="1" thickBot="1" x14ac:dyDescent="0.25">
      <c r="B51" s="136" t="s">
        <v>47</v>
      </c>
      <c r="C51" s="137"/>
      <c r="D51" s="36">
        <f>(+D16+D20+D21+D22+D23+D24+D25+D26+D27+D28+D29+D30+D36+D37+D38+D39+D40+D41+D42+D43+D44+D45+D46+D47+D48+D49+D50)+D13</f>
        <v>-379182496.59000003</v>
      </c>
      <c r="E51" s="36">
        <f>(+E16+E20+E21+E22+E23+E24+E25+E26+E27+E28+E29+E30+E36+E37+E38+E39+E40+E41+E42+E43+E44+E45+E46+E47+E48+E49+E50)+D51</f>
        <v>-578291914.6400001</v>
      </c>
      <c r="F51" s="36">
        <f>(+F16+F20+F21+F22+F23+F24+F25+F26+F27+F28+F29+F30+F36+F37+F38+F39+F40+F41+F42+F43+F44+F45+F46+F47+F48+F49+F50)+D13</f>
        <v>-578291914.63999915</v>
      </c>
      <c r="G51" s="36">
        <f>(+G16+G20+G21+G22+G23+G24+G25+G26+G27+G28+G29+G30+G36+G37+G38+G39+G40+G41+G42+G43+G44+G45+G46+G47+G48+G49+G50)+D13</f>
        <v>-95906199.699999943</v>
      </c>
      <c r="H51" s="36">
        <f>(+H16+H20+H21+H22+H23+H24+H25+H26+H27+H28+H29+H30+H36+H37+H38+H39+H40+H41+H42+H43+H44+H45+H46+H47+H48+H49+H50)+G51</f>
        <v>-142140852.84999993</v>
      </c>
      <c r="I51" s="36">
        <f t="shared" ref="I51:R51" si="5">(+I16+I20+I21+I22+I23+I24+I25+I26+I27+I28+I29+I30+I36+I37+I38+I39+I40+I41+I42+I43+I44+I45+I46+I47+I48+I49+I50)+H51</f>
        <v>-200285471.07999992</v>
      </c>
      <c r="J51" s="36">
        <f t="shared" si="5"/>
        <v>-251236830.24999994</v>
      </c>
      <c r="K51" s="36">
        <f t="shared" si="5"/>
        <v>-267736695.85999995</v>
      </c>
      <c r="L51" s="36">
        <f t="shared" si="5"/>
        <v>-352445510.92999995</v>
      </c>
      <c r="M51" s="36">
        <f t="shared" si="5"/>
        <v>-341175177.75</v>
      </c>
      <c r="N51" s="36">
        <f t="shared" si="5"/>
        <v>-379182496.59000003</v>
      </c>
      <c r="O51" s="36">
        <f t="shared" si="5"/>
        <v>-295016890.81000006</v>
      </c>
      <c r="P51" s="36">
        <f t="shared" si="5"/>
        <v>-308950483.5200001</v>
      </c>
      <c r="Q51" s="36">
        <f t="shared" si="5"/>
        <v>-312198151.6500001</v>
      </c>
      <c r="R51" s="36">
        <f t="shared" si="5"/>
        <v>-578291914.6400001</v>
      </c>
      <c r="S51" s="101"/>
    </row>
    <row r="52" spans="2:19" s="48" customFormat="1" ht="21.75" customHeight="1" thickTop="1" thickBot="1" x14ac:dyDescent="0.25">
      <c r="B52" s="46"/>
      <c r="C52" s="46"/>
      <c r="D52" s="47"/>
      <c r="E52" s="47"/>
      <c r="F52" s="47"/>
      <c r="G52" s="47"/>
      <c r="H52" s="47"/>
      <c r="I52" s="47"/>
      <c r="J52" s="47"/>
      <c r="K52" s="47"/>
      <c r="L52" s="47"/>
      <c r="M52" s="47"/>
      <c r="N52" s="47"/>
      <c r="O52" s="47"/>
      <c r="P52" s="47"/>
      <c r="Q52" s="47"/>
      <c r="R52" s="47"/>
    </row>
    <row r="53" spans="2:19" s="10" customFormat="1" ht="46.5" customHeight="1" thickBot="1" x14ac:dyDescent="0.25">
      <c r="B53" s="134" t="s">
        <v>52</v>
      </c>
      <c r="C53" s="135"/>
      <c r="D53" s="30" t="s">
        <v>83</v>
      </c>
      <c r="E53" s="30" t="s">
        <v>84</v>
      </c>
      <c r="F53" s="30" t="s">
        <v>93</v>
      </c>
      <c r="G53" s="29" t="s">
        <v>85</v>
      </c>
      <c r="H53" s="29" t="s">
        <v>86</v>
      </c>
      <c r="I53" s="29" t="s">
        <v>87</v>
      </c>
      <c r="J53" s="29" t="s">
        <v>88</v>
      </c>
      <c r="K53" s="29" t="s">
        <v>89</v>
      </c>
      <c r="L53" s="29" t="s">
        <v>90</v>
      </c>
      <c r="M53" s="29" t="s">
        <v>91</v>
      </c>
      <c r="N53" s="29" t="s">
        <v>92</v>
      </c>
      <c r="O53" s="29" t="s">
        <v>151</v>
      </c>
      <c r="P53" s="29" t="s">
        <v>152</v>
      </c>
      <c r="Q53" s="29" t="s">
        <v>153</v>
      </c>
      <c r="R53" s="29" t="s">
        <v>154</v>
      </c>
    </row>
    <row r="54" spans="2:19" s="48" customFormat="1" ht="30" customHeight="1" thickBot="1" x14ac:dyDescent="0.25">
      <c r="B54" s="130" t="s">
        <v>97</v>
      </c>
      <c r="C54" s="131"/>
      <c r="D54" s="69">
        <v>31044404.23</v>
      </c>
      <c r="E54" s="69">
        <f>D59</f>
        <v>33132717.289999999</v>
      </c>
      <c r="F54" s="69">
        <f>D54</f>
        <v>31044404.23</v>
      </c>
      <c r="G54" s="69">
        <f>D54</f>
        <v>31044404.23</v>
      </c>
      <c r="H54" s="69">
        <f>G59</f>
        <v>31342753.98</v>
      </c>
      <c r="I54" s="69">
        <f>H59</f>
        <v>31576693.960000001</v>
      </c>
      <c r="J54" s="69">
        <f t="shared" ref="J54:R54" si="6">I59</f>
        <v>31865035.16</v>
      </c>
      <c r="K54" s="69">
        <f t="shared" si="6"/>
        <v>32141116.66</v>
      </c>
      <c r="L54" s="69">
        <f t="shared" si="6"/>
        <v>32108533.050000001</v>
      </c>
      <c r="M54" s="69">
        <f t="shared" si="6"/>
        <v>32402326.600000001</v>
      </c>
      <c r="N54" s="69">
        <f t="shared" si="6"/>
        <v>32803538.890000001</v>
      </c>
      <c r="O54" s="69">
        <f t="shared" si="6"/>
        <v>33132717.289999999</v>
      </c>
      <c r="P54" s="69">
        <f t="shared" si="6"/>
        <v>33443852.890000001</v>
      </c>
      <c r="Q54" s="69">
        <f t="shared" si="6"/>
        <v>33855353.259999998</v>
      </c>
      <c r="R54" s="69">
        <f t="shared" si="6"/>
        <v>33794262.129999995</v>
      </c>
    </row>
    <row r="55" spans="2:19" s="48" customFormat="1" ht="31.5" customHeight="1" x14ac:dyDescent="0.2">
      <c r="B55" s="138" t="s">
        <v>57</v>
      </c>
      <c r="C55" s="139"/>
      <c r="D55" s="65">
        <f>SUM(G55:N55)</f>
        <v>0</v>
      </c>
      <c r="E55" s="65">
        <f>SUM(O55:R55)</f>
        <v>0</v>
      </c>
      <c r="F55" s="65">
        <f>+D55+E55</f>
        <v>0</v>
      </c>
      <c r="G55" s="65">
        <v>0</v>
      </c>
      <c r="H55" s="65">
        <v>0</v>
      </c>
      <c r="I55" s="65">
        <v>0</v>
      </c>
      <c r="J55" s="65">
        <v>0</v>
      </c>
      <c r="K55" s="65">
        <v>0</v>
      </c>
      <c r="L55" s="65">
        <v>0</v>
      </c>
      <c r="M55" s="65">
        <v>0</v>
      </c>
      <c r="N55" s="65">
        <v>0</v>
      </c>
      <c r="O55" s="65">
        <v>0</v>
      </c>
      <c r="P55" s="65">
        <v>0</v>
      </c>
      <c r="Q55" s="65">
        <v>0</v>
      </c>
      <c r="R55" s="65">
        <v>0</v>
      </c>
      <c r="S55" s="105"/>
    </row>
    <row r="56" spans="2:19" s="48" customFormat="1" ht="44.25" customHeight="1" thickBot="1" x14ac:dyDescent="0.25">
      <c r="B56" s="128" t="s">
        <v>59</v>
      </c>
      <c r="C56" s="129"/>
      <c r="D56" s="66">
        <f>SUM(G56:N56)</f>
        <v>2421989.1800000002</v>
      </c>
      <c r="E56" s="66">
        <f>SUM(O56:R56)</f>
        <v>1481342.3199999998</v>
      </c>
      <c r="F56" s="66">
        <f>+D56+E56</f>
        <v>3903331.5</v>
      </c>
      <c r="G56" s="66">
        <v>298349.75</v>
      </c>
      <c r="H56" s="66">
        <v>233939.98</v>
      </c>
      <c r="I56" s="66">
        <v>288341.2</v>
      </c>
      <c r="J56" s="66">
        <v>276081.5</v>
      </c>
      <c r="K56" s="66">
        <v>301092.51</v>
      </c>
      <c r="L56" s="66">
        <v>293793.55</v>
      </c>
      <c r="M56" s="66">
        <v>401212.29</v>
      </c>
      <c r="N56" s="66">
        <v>329178.40000000002</v>
      </c>
      <c r="O56" s="66">
        <v>311135.59999999998</v>
      </c>
      <c r="P56" s="66">
        <v>411500.37</v>
      </c>
      <c r="Q56" s="66">
        <v>360341.14</v>
      </c>
      <c r="R56" s="66">
        <v>398365.21</v>
      </c>
    </row>
    <row r="57" spans="2:19" s="48" customFormat="1" ht="44.25" customHeight="1" thickBot="1" x14ac:dyDescent="0.25">
      <c r="B57" s="128" t="s">
        <v>60</v>
      </c>
      <c r="C57" s="129"/>
      <c r="D57" s="66">
        <f>SUM(G57:N57)</f>
        <v>-333676.12</v>
      </c>
      <c r="E57" s="66">
        <f>SUM(O57:R57)</f>
        <v>-421432.27</v>
      </c>
      <c r="F57" s="66">
        <f>+D57+E57</f>
        <v>-755108.39</v>
      </c>
      <c r="G57" s="67">
        <v>0</v>
      </c>
      <c r="H57" s="67">
        <v>0</v>
      </c>
      <c r="I57" s="67">
        <v>0</v>
      </c>
      <c r="J57" s="67">
        <v>0</v>
      </c>
      <c r="K57" s="67">
        <v>-333676.12</v>
      </c>
      <c r="L57" s="67">
        <v>0</v>
      </c>
      <c r="M57" s="67">
        <v>0</v>
      </c>
      <c r="N57" s="67">
        <v>0</v>
      </c>
      <c r="O57" s="67">
        <f>N57</f>
        <v>0</v>
      </c>
      <c r="P57" s="67">
        <v>0</v>
      </c>
      <c r="Q57" s="67">
        <v>-421432.27</v>
      </c>
      <c r="R57" s="67">
        <v>0</v>
      </c>
    </row>
    <row r="58" spans="2:19" s="48" customFormat="1" ht="44.25" customHeight="1" thickBot="1" x14ac:dyDescent="0.25">
      <c r="B58" s="128" t="s">
        <v>100</v>
      </c>
      <c r="C58" s="129"/>
      <c r="D58" s="66">
        <f>SUM(G58:N58)</f>
        <v>0</v>
      </c>
      <c r="E58" s="66">
        <f>SUM(O58:R58)</f>
        <v>0</v>
      </c>
      <c r="F58" s="66">
        <f>+D58+E58</f>
        <v>0</v>
      </c>
      <c r="G58" s="87">
        <v>0</v>
      </c>
      <c r="H58" s="87">
        <v>0</v>
      </c>
      <c r="I58" s="87">
        <v>0</v>
      </c>
      <c r="J58" s="87">
        <v>0</v>
      </c>
      <c r="K58" s="87">
        <v>0</v>
      </c>
      <c r="L58" s="87">
        <v>0</v>
      </c>
      <c r="M58" s="87">
        <v>0</v>
      </c>
      <c r="N58" s="87">
        <v>0</v>
      </c>
      <c r="O58" s="87">
        <v>0</v>
      </c>
      <c r="P58" s="87">
        <v>0</v>
      </c>
      <c r="Q58" s="87">
        <v>0</v>
      </c>
      <c r="R58" s="87">
        <v>0</v>
      </c>
    </row>
    <row r="59" spans="2:19" s="10" customFormat="1" ht="35.25" customHeight="1" thickTop="1" thickBot="1" x14ac:dyDescent="0.25">
      <c r="B59" s="136" t="s">
        <v>49</v>
      </c>
      <c r="C59" s="137"/>
      <c r="D59" s="36">
        <f>SUM(D54:D58)</f>
        <v>33132717.289999999</v>
      </c>
      <c r="E59" s="36">
        <f>SUM(E54:E58)</f>
        <v>34192627.339999996</v>
      </c>
      <c r="F59" s="36">
        <f>SUM(F54:F58)</f>
        <v>34192627.340000004</v>
      </c>
      <c r="G59" s="36">
        <f>SUM(G54:G58)</f>
        <v>31342753.98</v>
      </c>
      <c r="H59" s="36">
        <f t="shared" ref="H59:R59" si="7">SUM(H54:H58)</f>
        <v>31576693.960000001</v>
      </c>
      <c r="I59" s="36">
        <f t="shared" si="7"/>
        <v>31865035.16</v>
      </c>
      <c r="J59" s="36">
        <f t="shared" si="7"/>
        <v>32141116.66</v>
      </c>
      <c r="K59" s="36">
        <f t="shared" si="7"/>
        <v>32108533.050000001</v>
      </c>
      <c r="L59" s="36">
        <f t="shared" si="7"/>
        <v>32402326.600000001</v>
      </c>
      <c r="M59" s="36">
        <f>SUM(M54:M58)</f>
        <v>32803538.890000001</v>
      </c>
      <c r="N59" s="36">
        <f t="shared" si="7"/>
        <v>33132717.289999999</v>
      </c>
      <c r="O59" s="36">
        <f t="shared" si="7"/>
        <v>33443852.890000001</v>
      </c>
      <c r="P59" s="36">
        <f t="shared" si="7"/>
        <v>33855353.259999998</v>
      </c>
      <c r="Q59" s="36">
        <f>SUM(Q54:Q58)</f>
        <v>33794262.129999995</v>
      </c>
      <c r="R59" s="36">
        <f t="shared" si="7"/>
        <v>34192627.339999996</v>
      </c>
    </row>
    <row r="60" spans="2:19" ht="11.25" customHeight="1" thickTop="1" x14ac:dyDescent="0.2"/>
    <row r="61" spans="2:19" ht="15" customHeight="1" thickBot="1" x14ac:dyDescent="0.25">
      <c r="O61" s="55"/>
    </row>
    <row r="62" spans="2:19" s="10" customFormat="1" ht="46.5" customHeight="1" thickBot="1" x14ac:dyDescent="0.25">
      <c r="B62" s="134" t="s">
        <v>53</v>
      </c>
      <c r="C62" s="135"/>
      <c r="D62" s="30" t="s">
        <v>83</v>
      </c>
      <c r="E62" s="30" t="s">
        <v>84</v>
      </c>
      <c r="F62" s="30" t="s">
        <v>93</v>
      </c>
      <c r="G62" s="29" t="s">
        <v>85</v>
      </c>
      <c r="H62" s="29" t="s">
        <v>86</v>
      </c>
      <c r="I62" s="29" t="s">
        <v>87</v>
      </c>
      <c r="J62" s="29" t="s">
        <v>88</v>
      </c>
      <c r="K62" s="29" t="s">
        <v>89</v>
      </c>
      <c r="L62" s="29" t="s">
        <v>90</v>
      </c>
      <c r="M62" s="29" t="s">
        <v>91</v>
      </c>
      <c r="N62" s="29" t="s">
        <v>92</v>
      </c>
      <c r="O62" s="29" t="s">
        <v>151</v>
      </c>
      <c r="P62" s="29" t="s">
        <v>152</v>
      </c>
      <c r="Q62" s="29" t="s">
        <v>153</v>
      </c>
      <c r="R62" s="29" t="s">
        <v>154</v>
      </c>
    </row>
    <row r="63" spans="2:19" s="48" customFormat="1" ht="30" customHeight="1" thickBot="1" x14ac:dyDescent="0.25">
      <c r="B63" s="130" t="s">
        <v>96</v>
      </c>
      <c r="C63" s="131"/>
      <c r="D63" s="69">
        <v>372343058.13</v>
      </c>
      <c r="E63" s="69">
        <f>D69</f>
        <v>359733078.99000007</v>
      </c>
      <c r="F63" s="69">
        <f>D63</f>
        <v>372343058.13</v>
      </c>
      <c r="G63" s="69">
        <f>D63</f>
        <v>372343058.13</v>
      </c>
      <c r="H63" s="69">
        <f t="shared" ref="H63:R63" si="8">G69</f>
        <v>378147868.32999998</v>
      </c>
      <c r="I63" s="69">
        <f t="shared" si="8"/>
        <v>379806896.64999998</v>
      </c>
      <c r="J63" s="69">
        <f t="shared" si="8"/>
        <v>380894580.10999995</v>
      </c>
      <c r="K63" s="69">
        <f t="shared" si="8"/>
        <v>384828922.35999995</v>
      </c>
      <c r="L63" s="69">
        <f t="shared" si="8"/>
        <v>387354434.69999999</v>
      </c>
      <c r="M63" s="69">
        <f t="shared" si="8"/>
        <v>389142790.45999998</v>
      </c>
      <c r="N63" s="69">
        <f t="shared" si="8"/>
        <v>358432723.24000001</v>
      </c>
      <c r="O63" s="69">
        <f t="shared" si="8"/>
        <v>359733078.99000001</v>
      </c>
      <c r="P63" s="69">
        <f t="shared" si="8"/>
        <v>369842073.67000002</v>
      </c>
      <c r="Q63" s="69">
        <f t="shared" si="8"/>
        <v>383168725.37</v>
      </c>
      <c r="R63" s="69">
        <f t="shared" si="8"/>
        <v>390440258.64000005</v>
      </c>
    </row>
    <row r="64" spans="2:19" s="48" customFormat="1" ht="31.5" customHeight="1" thickBot="1" x14ac:dyDescent="0.25">
      <c r="B64" s="138" t="s">
        <v>108</v>
      </c>
      <c r="C64" s="139"/>
      <c r="D64" s="65">
        <f>SUM(G64:N64)</f>
        <v>-266960105.80999997</v>
      </c>
      <c r="E64" s="65">
        <f>SUM(O64:R64)</f>
        <v>-598445411.04999995</v>
      </c>
      <c r="F64" s="65">
        <f>+D64+E64</f>
        <v>-865405516.8599999</v>
      </c>
      <c r="G64" s="65">
        <v>0</v>
      </c>
      <c r="H64" s="65">
        <v>0</v>
      </c>
      <c r="I64" s="65">
        <v>0</v>
      </c>
      <c r="J64" s="65">
        <v>0</v>
      </c>
      <c r="K64" s="65">
        <v>-22033195.93</v>
      </c>
      <c r="L64" s="65">
        <v>-51116250.170000002</v>
      </c>
      <c r="M64" s="65">
        <f>-50111401.86-35046033.25</f>
        <v>-85157435.109999999</v>
      </c>
      <c r="N64" s="65">
        <v>-108653224.59999999</v>
      </c>
      <c r="O64" s="65">
        <v>-77606464.640000001</v>
      </c>
      <c r="P64" s="65">
        <v>-67375564.549999997</v>
      </c>
      <c r="Q64" s="65">
        <f>-5654276.18-61538717.21</f>
        <v>-67192993.390000001</v>
      </c>
      <c r="R64" s="65">
        <f>-211279484.42-174990904.05</f>
        <v>-386270388.47000003</v>
      </c>
    </row>
    <row r="65" spans="2:19" s="48" customFormat="1" ht="31.5" customHeight="1" x14ac:dyDescent="0.2">
      <c r="B65" s="138" t="s">
        <v>107</v>
      </c>
      <c r="C65" s="139"/>
      <c r="D65" s="65">
        <f>SUM(G65:N65)</f>
        <v>234681909.61000001</v>
      </c>
      <c r="E65" s="65">
        <f>SUM(O65:R65)</f>
        <v>339660865.86000001</v>
      </c>
      <c r="F65" s="65">
        <f>+D65+E65</f>
        <v>574342775.47000003</v>
      </c>
      <c r="G65" s="93">
        <v>0</v>
      </c>
      <c r="H65" s="93">
        <v>0</v>
      </c>
      <c r="I65" s="93">
        <v>0</v>
      </c>
      <c r="J65" s="93">
        <v>0</v>
      </c>
      <c r="K65" s="93">
        <v>22033195.629999999</v>
      </c>
      <c r="L65" s="93">
        <v>51116250.170000002</v>
      </c>
      <c r="M65" s="93">
        <v>50177315.030000001</v>
      </c>
      <c r="N65" s="93">
        <v>111355148.78</v>
      </c>
      <c r="O65" s="93">
        <v>88920430.959999993</v>
      </c>
      <c r="P65" s="93">
        <v>77172624.989999995</v>
      </c>
      <c r="Q65" s="93">
        <v>72411251.219999999</v>
      </c>
      <c r="R65" s="93">
        <v>101156558.69</v>
      </c>
      <c r="S65" s="105"/>
    </row>
    <row r="66" spans="2:19" s="48" customFormat="1" ht="44.25" customHeight="1" thickBot="1" x14ac:dyDescent="0.25">
      <c r="B66" s="128" t="s">
        <v>58</v>
      </c>
      <c r="C66" s="129"/>
      <c r="D66" s="66">
        <f>SUM(G66:N66)</f>
        <v>23890915.999999996</v>
      </c>
      <c r="E66" s="66">
        <f>SUM(O66:R66)</f>
        <v>9264725.2799999993</v>
      </c>
      <c r="F66" s="66">
        <f>+D66+E66</f>
        <v>33155641.279999994</v>
      </c>
      <c r="G66" s="66">
        <v>5804810.2000000002</v>
      </c>
      <c r="H66" s="66">
        <v>1659028.32</v>
      </c>
      <c r="I66" s="66">
        <v>1087683.46</v>
      </c>
      <c r="J66" s="66">
        <v>3934342.25</v>
      </c>
      <c r="K66" s="66">
        <v>5416050.9699999997</v>
      </c>
      <c r="L66" s="66">
        <v>1964510.25</v>
      </c>
      <c r="M66" s="66">
        <v>4784000.74</v>
      </c>
      <c r="N66" s="66">
        <v>-759510.19</v>
      </c>
      <c r="O66" s="66">
        <f>-1376519.87+578744.49</f>
        <v>-797775.38000000012</v>
      </c>
      <c r="P66" s="66">
        <f>1568589.88+2348205.14</f>
        <v>3916795.02</v>
      </c>
      <c r="Q66" s="66">
        <f>1930684.95+1616224.61</f>
        <v>3546909.56</v>
      </c>
      <c r="R66" s="66">
        <f>1443570.62+1155225.46</f>
        <v>2598796.08</v>
      </c>
    </row>
    <row r="67" spans="2:19" s="48" customFormat="1" ht="44.25" customHeight="1" thickBot="1" x14ac:dyDescent="0.25">
      <c r="B67" s="128" t="s">
        <v>61</v>
      </c>
      <c r="C67" s="129"/>
      <c r="D67" s="67">
        <f>SUM(G67:N67)</f>
        <v>-4222698.9400000004</v>
      </c>
      <c r="E67" s="67">
        <f>SUM(O67:R67)</f>
        <v>-3130243.41</v>
      </c>
      <c r="F67" s="66">
        <f>+D67+E67</f>
        <v>-7352942.3500000006</v>
      </c>
      <c r="G67" s="67">
        <v>0</v>
      </c>
      <c r="H67" s="67">
        <v>0</v>
      </c>
      <c r="I67" s="67">
        <v>0</v>
      </c>
      <c r="J67" s="67">
        <v>0</v>
      </c>
      <c r="K67" s="67">
        <v>-2890538.33</v>
      </c>
      <c r="L67" s="67">
        <v>-176154.49</v>
      </c>
      <c r="M67" s="67">
        <v>-513947.88</v>
      </c>
      <c r="N67" s="67">
        <v>-642058.23999999999</v>
      </c>
      <c r="O67" s="67">
        <v>-407196.26</v>
      </c>
      <c r="P67" s="67">
        <v>-387203.76</v>
      </c>
      <c r="Q67" s="67">
        <f>-741235.14-752398.98</f>
        <v>-1493634.12</v>
      </c>
      <c r="R67" s="67">
        <f>-627594.88-214614.39</f>
        <v>-842209.27</v>
      </c>
    </row>
    <row r="68" spans="2:19" s="48" customFormat="1" ht="44.25" customHeight="1" thickBot="1" x14ac:dyDescent="0.25">
      <c r="B68" s="128" t="s">
        <v>101</v>
      </c>
      <c r="C68" s="129"/>
      <c r="D68" s="65">
        <f>SUM(G68:N68)</f>
        <v>0</v>
      </c>
      <c r="E68" s="67">
        <f>SUM(O68:R68)</f>
        <v>-151064.18</v>
      </c>
      <c r="F68" s="66">
        <f>+D68+E68</f>
        <v>-151064.18</v>
      </c>
      <c r="G68" s="87">
        <v>0</v>
      </c>
      <c r="H68" s="87">
        <v>0</v>
      </c>
      <c r="I68" s="87">
        <v>0</v>
      </c>
      <c r="J68" s="87">
        <v>0</v>
      </c>
      <c r="K68" s="87">
        <v>0</v>
      </c>
      <c r="L68" s="87">
        <v>0</v>
      </c>
      <c r="M68" s="87">
        <v>0</v>
      </c>
      <c r="N68" s="87">
        <v>0</v>
      </c>
      <c r="O68" s="87">
        <v>0</v>
      </c>
      <c r="P68" s="87">
        <v>0</v>
      </c>
      <c r="Q68" s="87">
        <v>0</v>
      </c>
      <c r="R68" s="87">
        <v>-151064.18</v>
      </c>
      <c r="S68" s="105"/>
    </row>
    <row r="69" spans="2:19" s="10" customFormat="1" ht="35.25" customHeight="1" thickTop="1" thickBot="1" x14ac:dyDescent="0.25">
      <c r="B69" s="136" t="s">
        <v>51</v>
      </c>
      <c r="C69" s="137"/>
      <c r="D69" s="36">
        <f>SUM(D63:D68)</f>
        <v>359733078.99000007</v>
      </c>
      <c r="E69" s="36">
        <f>SUM(E63:E68)</f>
        <v>106931951.49000013</v>
      </c>
      <c r="F69" s="36">
        <f>SUM(F63:F68)</f>
        <v>106931951.49000013</v>
      </c>
      <c r="G69" s="36">
        <f>SUM(G63:G68)</f>
        <v>378147868.32999998</v>
      </c>
      <c r="H69" s="36">
        <f t="shared" ref="H69:P69" si="9">SUM(H63:H68)</f>
        <v>379806896.64999998</v>
      </c>
      <c r="I69" s="36">
        <f t="shared" si="9"/>
        <v>380894580.10999995</v>
      </c>
      <c r="J69" s="36">
        <f t="shared" si="9"/>
        <v>384828922.35999995</v>
      </c>
      <c r="K69" s="36">
        <f t="shared" si="9"/>
        <v>387354434.69999999</v>
      </c>
      <c r="L69" s="36">
        <f t="shared" si="9"/>
        <v>389142790.45999998</v>
      </c>
      <c r="M69" s="36">
        <f t="shared" si="9"/>
        <v>358432723.24000001</v>
      </c>
      <c r="N69" s="36">
        <f t="shared" si="9"/>
        <v>359733078.99000001</v>
      </c>
      <c r="O69" s="36">
        <f t="shared" si="9"/>
        <v>369842073.67000002</v>
      </c>
      <c r="P69" s="36">
        <f t="shared" si="9"/>
        <v>383168725.37</v>
      </c>
      <c r="Q69" s="36">
        <f>SUM(Q63:Q68)</f>
        <v>390440258.64000005</v>
      </c>
      <c r="R69" s="36">
        <f>SUM(R63:R68)</f>
        <v>106931951.49000001</v>
      </c>
    </row>
    <row r="70" spans="2:19" ht="15.75" thickTop="1" x14ac:dyDescent="0.2"/>
    <row r="71" spans="2:19" x14ac:dyDescent="0.2">
      <c r="R71" s="55"/>
    </row>
    <row r="72" spans="2:19" x14ac:dyDescent="0.2">
      <c r="P72" s="104"/>
      <c r="R72" s="55"/>
    </row>
    <row r="73" spans="2:19" x14ac:dyDescent="0.2">
      <c r="F73" s="55"/>
      <c r="R73" s="55"/>
    </row>
    <row r="81" spans="4:15" x14ac:dyDescent="0.2">
      <c r="D81" s="58"/>
      <c r="E81" s="58"/>
      <c r="F81" s="58"/>
      <c r="G81" s="63"/>
    </row>
    <row r="82" spans="4:15" x14ac:dyDescent="0.2">
      <c r="D82" s="58"/>
      <c r="E82" s="58"/>
      <c r="F82" s="56"/>
      <c r="G82" s="63"/>
    </row>
    <row r="83" spans="4:15" x14ac:dyDescent="0.2">
      <c r="D83" s="59"/>
      <c r="E83" s="60"/>
      <c r="F83" s="58"/>
      <c r="G83" s="63"/>
    </row>
    <row r="84" spans="4:15" x14ac:dyDescent="0.2">
      <c r="D84" s="59"/>
      <c r="E84" s="60"/>
      <c r="F84" s="58"/>
      <c r="G84" s="63"/>
    </row>
    <row r="85" spans="4:15" x14ac:dyDescent="0.2">
      <c r="D85" s="59"/>
      <c r="E85" s="60"/>
      <c r="F85" s="3"/>
      <c r="G85" s="63"/>
    </row>
    <row r="86" spans="4:15" x14ac:dyDescent="0.2">
      <c r="D86" s="59"/>
      <c r="E86" s="60"/>
      <c r="F86" s="58"/>
      <c r="G86" s="63"/>
    </row>
    <row r="87" spans="4:15" x14ac:dyDescent="0.2">
      <c r="D87" s="59"/>
      <c r="E87" s="61"/>
      <c r="F87" s="58"/>
      <c r="G87" s="63"/>
    </row>
    <row r="88" spans="4:15" ht="18" x14ac:dyDescent="0.2">
      <c r="D88" s="59"/>
      <c r="E88" s="58"/>
      <c r="F88" s="58"/>
      <c r="G88" s="63"/>
      <c r="O88" s="103"/>
    </row>
    <row r="89" spans="4:15" ht="18" x14ac:dyDescent="0.2">
      <c r="D89" s="62"/>
      <c r="E89" s="58"/>
      <c r="F89" s="58"/>
      <c r="G89" s="63"/>
      <c r="O89" s="103"/>
    </row>
    <row r="90" spans="4:15" ht="18" x14ac:dyDescent="0.2">
      <c r="D90" s="59"/>
      <c r="E90" s="60"/>
      <c r="F90" s="58"/>
      <c r="G90" s="63"/>
      <c r="O90" s="103"/>
    </row>
    <row r="91" spans="4:15" ht="18" x14ac:dyDescent="0.2">
      <c r="D91" s="59"/>
      <c r="E91" s="60"/>
      <c r="F91" s="58"/>
      <c r="G91" s="63"/>
      <c r="O91" s="103"/>
    </row>
    <row r="92" spans="4:15" ht="18" x14ac:dyDescent="0.2">
      <c r="D92" s="59"/>
      <c r="E92" s="60"/>
      <c r="F92" s="58"/>
      <c r="G92" s="63"/>
      <c r="O92" s="103"/>
    </row>
    <row r="93" spans="4:15" ht="18" x14ac:dyDescent="0.2">
      <c r="D93" s="59"/>
      <c r="E93" s="60"/>
      <c r="F93" s="58"/>
      <c r="G93" s="63"/>
      <c r="O93" s="103"/>
    </row>
    <row r="94" spans="4:15" x14ac:dyDescent="0.2">
      <c r="D94" s="59"/>
      <c r="E94" s="61"/>
      <c r="F94" s="58"/>
      <c r="G94" s="63"/>
      <c r="O94" s="102"/>
    </row>
    <row r="95" spans="4:15" x14ac:dyDescent="0.2">
      <c r="D95" s="58"/>
      <c r="E95" s="58"/>
      <c r="F95" s="58"/>
      <c r="G95" s="63"/>
    </row>
    <row r="96" spans="4:15" x14ac:dyDescent="0.2">
      <c r="D96" s="59"/>
      <c r="E96" s="58"/>
      <c r="F96" s="58"/>
      <c r="G96" s="63"/>
    </row>
  </sheetData>
  <sheetProtection formatCells="0" formatColumns="0" formatRows="0" insertColumns="0" insertRows="0" insertHyperlinks="0" deleteColumns="0" deleteRows="0" sort="0" autoFilter="0" pivotTables="0"/>
  <dataConsolidate/>
  <mergeCells count="22">
    <mergeCell ref="B57:C57"/>
    <mergeCell ref="B65:C65"/>
    <mergeCell ref="B10:C10"/>
    <mergeCell ref="B11:C11"/>
    <mergeCell ref="B54:C54"/>
    <mergeCell ref="B30:B35"/>
    <mergeCell ref="B16:B19"/>
    <mergeCell ref="B62:C62"/>
    <mergeCell ref="B51:C51"/>
    <mergeCell ref="B28:B29"/>
    <mergeCell ref="B58:C58"/>
    <mergeCell ref="B56:C56"/>
    <mergeCell ref="B68:C68"/>
    <mergeCell ref="B63:C63"/>
    <mergeCell ref="B13:C13"/>
    <mergeCell ref="B53:C53"/>
    <mergeCell ref="B69:C69"/>
    <mergeCell ref="B67:C67"/>
    <mergeCell ref="B59:C59"/>
    <mergeCell ref="B55:C55"/>
    <mergeCell ref="B64:C64"/>
    <mergeCell ref="B66:C66"/>
  </mergeCells>
  <phoneticPr fontId="3" type="noConversion"/>
  <printOptions horizontalCentered="1"/>
  <pageMargins left="0" right="0" top="0" bottom="0" header="0" footer="0"/>
  <pageSetup paperSize="9" scale="60" orientation="portrait" r:id="rId1"/>
  <headerFooter alignWithMargins="0">
    <oddFooter>&amp;L&amp;Z&amp;F\&amp;F\&amp;A&amp;R
&amp;P de &amp;N.</oddFooter>
  </headerFooter>
  <rowBreaks count="1" manualBreakCount="1">
    <brk id="5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7">
    <tabColor rgb="FF00B050"/>
    <outlinePr summaryBelow="0"/>
  </sheetPr>
  <dimension ref="A1:T96"/>
  <sheetViews>
    <sheetView showGridLines="0" zoomScale="73" zoomScaleNormal="73" workbookViewId="0"/>
  </sheetViews>
  <sheetFormatPr defaultColWidth="21.42578125" defaultRowHeight="15" x14ac:dyDescent="0.2"/>
  <cols>
    <col min="1" max="1" width="3.28515625" style="2" customWidth="1"/>
    <col min="2" max="2" width="14.28515625" style="2" customWidth="1"/>
    <col min="3" max="3" width="32.140625" style="2" customWidth="1"/>
    <col min="4" max="4" width="26.7109375" style="2" hidden="1" customWidth="1"/>
    <col min="5" max="5" width="23.7109375" style="2" hidden="1" customWidth="1"/>
    <col min="6" max="6" width="26.85546875" style="2" hidden="1" customWidth="1"/>
    <col min="7" max="7" width="24.42578125" style="11" customWidth="1"/>
    <col min="8" max="8" width="24.140625" style="2" customWidth="1"/>
    <col min="9" max="9" width="26.28515625" style="2" customWidth="1"/>
    <col min="10" max="10" width="23" style="2" customWidth="1"/>
    <col min="11" max="11" width="21.7109375" style="2" customWidth="1"/>
    <col min="12" max="12" width="25" style="2" customWidth="1"/>
    <col min="13" max="13" width="23.7109375" style="2" customWidth="1"/>
    <col min="14" max="14" width="25.5703125" style="2" customWidth="1"/>
    <col min="15" max="15" width="25" style="2" customWidth="1"/>
    <col min="16" max="16" width="24.7109375" style="2" customWidth="1"/>
    <col min="17" max="17" width="25.42578125" style="2" customWidth="1"/>
    <col min="18" max="18" width="25.28515625" style="2" customWidth="1"/>
    <col min="19" max="16384" width="21.42578125" style="2"/>
  </cols>
  <sheetData>
    <row r="1" spans="2:20" ht="9" customHeight="1" thickBot="1" x14ac:dyDescent="0.25">
      <c r="B1" s="1"/>
      <c r="C1" s="4"/>
      <c r="D1" s="5"/>
      <c r="I1" s="6"/>
    </row>
    <row r="2" spans="2:20" ht="15.95" customHeight="1" thickTop="1" x14ac:dyDescent="0.2">
      <c r="B2" s="15"/>
      <c r="C2" s="16"/>
      <c r="D2" s="16"/>
      <c r="E2" s="113"/>
      <c r="F2" s="113"/>
      <c r="G2" s="113"/>
      <c r="H2" s="123"/>
      <c r="I2" s="124"/>
    </row>
    <row r="3" spans="2:20" ht="23.25" customHeight="1" x14ac:dyDescent="0.2">
      <c r="B3" s="18"/>
      <c r="C3" s="14"/>
      <c r="D3" s="14"/>
      <c r="E3" s="114"/>
      <c r="F3" s="114"/>
      <c r="G3" s="114"/>
      <c r="H3" s="114"/>
      <c r="I3" s="115"/>
      <c r="J3"/>
      <c r="K3"/>
    </row>
    <row r="4" spans="2:20" ht="15.75" customHeight="1" x14ac:dyDescent="0.25">
      <c r="B4" s="18"/>
      <c r="C4" s="12" t="s">
        <v>26</v>
      </c>
      <c r="D4" s="125"/>
      <c r="E4" s="114"/>
      <c r="F4" s="114"/>
      <c r="G4" s="114"/>
      <c r="H4" s="114"/>
      <c r="I4" s="115"/>
      <c r="J4"/>
      <c r="K4"/>
    </row>
    <row r="5" spans="2:20" ht="15.95" customHeight="1" x14ac:dyDescent="0.25">
      <c r="B5" s="18"/>
      <c r="C5" s="12" t="s">
        <v>3</v>
      </c>
      <c r="D5" s="125"/>
      <c r="E5" s="114"/>
      <c r="F5" s="114"/>
      <c r="G5" s="114"/>
      <c r="H5" s="114"/>
      <c r="I5" s="115"/>
      <c r="J5"/>
      <c r="K5"/>
    </row>
    <row r="6" spans="2:20" s="9" customFormat="1" ht="15.95" customHeight="1" x14ac:dyDescent="0.25">
      <c r="B6" s="18"/>
      <c r="C6" s="12" t="s">
        <v>54</v>
      </c>
      <c r="D6" s="56"/>
      <c r="E6" s="114"/>
      <c r="F6" s="114"/>
      <c r="G6" s="114"/>
      <c r="H6" s="114"/>
      <c r="I6" s="115"/>
      <c r="J6"/>
      <c r="K6"/>
    </row>
    <row r="7" spans="2:20" s="9" customFormat="1" ht="15.95" customHeight="1" x14ac:dyDescent="0.25">
      <c r="B7" s="18"/>
      <c r="C7" s="13" t="s">
        <v>82</v>
      </c>
      <c r="D7" s="126"/>
      <c r="E7" s="114"/>
      <c r="F7" s="114"/>
      <c r="G7" s="114"/>
      <c r="H7" s="114"/>
      <c r="I7" s="115"/>
      <c r="J7"/>
      <c r="K7"/>
    </row>
    <row r="8" spans="2:20" s="9" customFormat="1" ht="18" customHeight="1" thickBot="1" x14ac:dyDescent="0.3">
      <c r="B8" s="21"/>
      <c r="C8" s="106" t="s">
        <v>55</v>
      </c>
      <c r="D8" s="127">
        <v>42661</v>
      </c>
      <c r="E8" s="116"/>
      <c r="F8" s="116"/>
      <c r="G8" s="127">
        <f>D8</f>
        <v>42661</v>
      </c>
      <c r="H8" s="116"/>
      <c r="I8" s="117"/>
      <c r="J8"/>
      <c r="K8"/>
    </row>
    <row r="9" spans="2:20" s="9" customFormat="1" ht="15.95" customHeight="1" thickTop="1" thickBot="1" x14ac:dyDescent="0.25">
      <c r="C9"/>
      <c r="D9"/>
      <c r="E9"/>
      <c r="F9"/>
      <c r="G9"/>
      <c r="H9"/>
      <c r="I9"/>
      <c r="J9"/>
      <c r="K9"/>
    </row>
    <row r="10" spans="2:20" s="9" customFormat="1" ht="42.75" hidden="1" customHeight="1" thickTop="1" thickBot="1" x14ac:dyDescent="0.25">
      <c r="B10" s="140" t="s">
        <v>8</v>
      </c>
      <c r="C10" s="141"/>
      <c r="D10" s="22" t="s">
        <v>20</v>
      </c>
      <c r="E10"/>
      <c r="F10"/>
      <c r="G10"/>
      <c r="P10"/>
      <c r="Q10"/>
    </row>
    <row r="11" spans="2:20" s="9" customFormat="1" ht="30" hidden="1" customHeight="1" thickTop="1" x14ac:dyDescent="0.2">
      <c r="B11" s="142" t="s">
        <v>80</v>
      </c>
      <c r="C11" s="143"/>
      <c r="D11" s="85">
        <f>'FLUXO 2015 ANUAL'!D11</f>
        <v>-93470668.769999996</v>
      </c>
      <c r="E11"/>
      <c r="F11" s="81"/>
      <c r="G11"/>
      <c r="P11"/>
      <c r="Q11"/>
    </row>
    <row r="12" spans="2:20" s="9" customFormat="1" ht="18" hidden="1" customHeight="1" x14ac:dyDescent="0.2">
      <c r="B12" s="92" t="s">
        <v>67</v>
      </c>
      <c r="C12" s="26" t="s">
        <v>106</v>
      </c>
      <c r="D12" s="38">
        <f>'FLUXO 2015 ANUAL'!D12</f>
        <v>0</v>
      </c>
      <c r="E12" s="24"/>
      <c r="F12"/>
      <c r="G12"/>
      <c r="P12"/>
      <c r="Q12"/>
    </row>
    <row r="13" spans="2:20" s="9" customFormat="1" ht="18" hidden="1" customHeight="1" x14ac:dyDescent="0.2">
      <c r="B13" s="132" t="s">
        <v>81</v>
      </c>
      <c r="C13" s="133"/>
      <c r="D13" s="39">
        <f>'FLUXO 2015 ANUAL'!D13</f>
        <v>-93470668.769999996</v>
      </c>
      <c r="E13"/>
      <c r="F13"/>
      <c r="G13"/>
      <c r="P13"/>
      <c r="Q13"/>
    </row>
    <row r="14" spans="2:20" s="9" customFormat="1" ht="18" hidden="1" customHeight="1" thickBot="1" x14ac:dyDescent="0.25">
      <c r="B14" s="25" t="s">
        <v>66</v>
      </c>
      <c r="C14" s="27"/>
      <c r="D14" s="28"/>
      <c r="E14"/>
      <c r="F14"/>
    </row>
    <row r="15" spans="2:20" s="9" customFormat="1" ht="45.75" customHeight="1" thickBot="1" x14ac:dyDescent="0.25">
      <c r="B15" s="29" t="s">
        <v>46</v>
      </c>
      <c r="C15" s="51" t="s">
        <v>24</v>
      </c>
      <c r="D15" s="30" t="s">
        <v>83</v>
      </c>
      <c r="E15" s="30" t="s">
        <v>178</v>
      </c>
      <c r="F15" s="30" t="s">
        <v>93</v>
      </c>
      <c r="G15" s="29" t="s">
        <v>85</v>
      </c>
      <c r="H15" s="29" t="s">
        <v>86</v>
      </c>
      <c r="I15" s="29" t="s">
        <v>87</v>
      </c>
      <c r="J15" s="29" t="s">
        <v>88</v>
      </c>
      <c r="K15" s="29" t="s">
        <v>89</v>
      </c>
      <c r="L15" s="29" t="s">
        <v>90</v>
      </c>
      <c r="M15" s="29" t="s">
        <v>91</v>
      </c>
      <c r="N15" s="29" t="s">
        <v>92</v>
      </c>
      <c r="O15" s="29" t="s">
        <v>151</v>
      </c>
      <c r="P15" s="29" t="s">
        <v>152</v>
      </c>
      <c r="Q15" s="29" t="s">
        <v>153</v>
      </c>
      <c r="R15" s="29" t="s">
        <v>154</v>
      </c>
    </row>
    <row r="16" spans="2:20" s="9" customFormat="1" ht="25.5" x14ac:dyDescent="0.2">
      <c r="B16" s="147" t="s">
        <v>9</v>
      </c>
      <c r="C16" s="119" t="s">
        <v>21</v>
      </c>
      <c r="D16" s="31">
        <f>'FLUXO 2015 ANUAL'!D16</f>
        <v>1789719898.52</v>
      </c>
      <c r="E16" s="31">
        <f>'FLUXO 2015 ANUAL'!E16</f>
        <v>895842402.16000009</v>
      </c>
      <c r="F16" s="31">
        <f>'FLUXO 2015 ANUAL'!F16</f>
        <v>2685562300.6800003</v>
      </c>
      <c r="G16" s="31">
        <f>'FLUXO 2015 ANUAL'!G16</f>
        <v>224352158.32000002</v>
      </c>
      <c r="H16" s="31">
        <f>'FLUXO 2015 ANUAL'!H16</f>
        <v>224566822.00000003</v>
      </c>
      <c r="I16" s="31">
        <f>'FLUXO 2015 ANUAL'!I16</f>
        <v>221166736.35000002</v>
      </c>
      <c r="J16" s="31">
        <f>'FLUXO 2015 ANUAL'!J16</f>
        <v>223237022.00999999</v>
      </c>
      <c r="K16" s="31">
        <f>'FLUXO 2015 ANUAL'!K16</f>
        <v>224606090.43000001</v>
      </c>
      <c r="L16" s="31">
        <f>'FLUXO 2015 ANUAL'!L16</f>
        <v>223034554.60000002</v>
      </c>
      <c r="M16" s="31">
        <f>'FLUXO 2015 ANUAL'!M16</f>
        <v>224920567.47999999</v>
      </c>
      <c r="N16" s="31">
        <f>'FLUXO 2015 ANUAL'!N16</f>
        <v>223835947.33000001</v>
      </c>
      <c r="O16" s="31">
        <f>'FLUXO 2015 ANUAL'!O16</f>
        <v>224514117.97</v>
      </c>
      <c r="P16" s="31">
        <f>'FLUXO 2015 ANUAL'!P16</f>
        <v>224293848.78</v>
      </c>
      <c r="Q16" s="31">
        <f>'FLUXO 2015 ANUAL'!Q16</f>
        <v>223238874.43000001</v>
      </c>
      <c r="R16" s="31">
        <f>'FLUXO 2015 ANUAL'!R16</f>
        <v>223795560.97999999</v>
      </c>
      <c r="T16" s="99"/>
    </row>
    <row r="17" spans="1:20" s="9" customFormat="1" ht="18" customHeight="1" x14ac:dyDescent="0.2">
      <c r="B17" s="148"/>
      <c r="C17" s="41" t="s">
        <v>6</v>
      </c>
      <c r="D17" s="31">
        <f>'FLUXO 2015 ANUAL'!D17</f>
        <v>1647908387.2000003</v>
      </c>
      <c r="E17" s="31">
        <f>'FLUXO 2015 ANUAL'!E17</f>
        <v>823954193.60000002</v>
      </c>
      <c r="F17" s="31">
        <f>'FLUXO 2015 ANUAL'!F17</f>
        <v>2471862580.8000002</v>
      </c>
      <c r="G17" s="32">
        <f>'FLUXO 2015 ANUAL'!G17</f>
        <v>205988548.40000001</v>
      </c>
      <c r="H17" s="32">
        <f>'FLUXO 2015 ANUAL'!H17</f>
        <v>205988548.40000001</v>
      </c>
      <c r="I17" s="32">
        <f>'FLUXO 2015 ANUAL'!I17</f>
        <v>205988548.40000001</v>
      </c>
      <c r="J17" s="32">
        <f>'FLUXO 2015 ANUAL'!J17</f>
        <v>205988548.40000001</v>
      </c>
      <c r="K17" s="32">
        <f>'FLUXO 2015 ANUAL'!K17</f>
        <v>205988548.40000001</v>
      </c>
      <c r="L17" s="32">
        <f>'FLUXO 2015 ANUAL'!L17</f>
        <v>205988548.40000001</v>
      </c>
      <c r="M17" s="32">
        <f>'FLUXO 2015 ANUAL'!M17</f>
        <v>205988548.40000001</v>
      </c>
      <c r="N17" s="32">
        <f>'FLUXO 2015 ANUAL'!N17</f>
        <v>205988548.40000001</v>
      </c>
      <c r="O17" s="32">
        <f>'FLUXO 2015 ANUAL'!O17</f>
        <v>205988548.40000001</v>
      </c>
      <c r="P17" s="32">
        <f>'FLUXO 2015 ANUAL'!P17</f>
        <v>205988548.40000001</v>
      </c>
      <c r="Q17" s="32">
        <f>'FLUXO 2015 ANUAL'!Q17</f>
        <v>205988548.40000001</v>
      </c>
      <c r="R17" s="32">
        <f>'FLUXO 2015 ANUAL'!R17</f>
        <v>205988548.40000001</v>
      </c>
    </row>
    <row r="18" spans="1:20" s="9" customFormat="1" ht="18" customHeight="1" x14ac:dyDescent="0.2">
      <c r="A18" s="68"/>
      <c r="B18" s="148"/>
      <c r="C18" s="41" t="s">
        <v>7</v>
      </c>
      <c r="D18" s="31">
        <f>'FLUXO 2015 ANUAL'!D18</f>
        <v>129958177.2</v>
      </c>
      <c r="E18" s="31">
        <f>'FLUXO 2015 ANUAL'!E18</f>
        <v>65937353.429999992</v>
      </c>
      <c r="F18" s="31">
        <f>'FLUXO 2015 ANUAL'!F18</f>
        <v>195895530.63</v>
      </c>
      <c r="G18" s="32">
        <f>'FLUXO 2015 ANUAL'!G18</f>
        <v>16882888.649999999</v>
      </c>
      <c r="H18" s="32">
        <f>'FLUXO 2015 ANUAL'!H18</f>
        <v>17097552.329999998</v>
      </c>
      <c r="I18" s="32">
        <f>'FLUXO 2015 ANUAL'!I18</f>
        <v>13697466.68</v>
      </c>
      <c r="J18" s="32">
        <f>'FLUXO 2015 ANUAL'!J18</f>
        <v>15764141.859999999</v>
      </c>
      <c r="K18" s="32">
        <f>'FLUXO 2015 ANUAL'!K18</f>
        <v>17133018.199999999</v>
      </c>
      <c r="L18" s="32">
        <f>'FLUXO 2015 ANUAL'!L18</f>
        <v>15565699.18</v>
      </c>
      <c r="M18" s="32">
        <f>'FLUXO 2015 ANUAL'!M18</f>
        <v>17451608.949999999</v>
      </c>
      <c r="N18" s="32">
        <f>'FLUXO 2015 ANUAL'!N18</f>
        <v>16365801.35</v>
      </c>
      <c r="O18" s="32">
        <f>'FLUXO 2015 ANUAL'!O18</f>
        <v>17044367.48</v>
      </c>
      <c r="P18" s="32">
        <f>'FLUXO 2015 ANUAL'!P18</f>
        <v>16823478.18</v>
      </c>
      <c r="Q18" s="32">
        <f>'FLUXO 2015 ANUAL'!Q18</f>
        <v>15754435.26</v>
      </c>
      <c r="R18" s="32">
        <f>'FLUXO 2015 ANUAL'!R18</f>
        <v>16315072.51</v>
      </c>
    </row>
    <row r="19" spans="1:20" s="9" customFormat="1" ht="18" customHeight="1" x14ac:dyDescent="0.2">
      <c r="A19" s="68"/>
      <c r="B19" s="148"/>
      <c r="C19" s="41" t="s">
        <v>29</v>
      </c>
      <c r="D19" s="31">
        <f>'FLUXO 2015 ANUAL'!D19</f>
        <v>11853334.119999999</v>
      </c>
      <c r="E19" s="31">
        <f>'FLUXO 2015 ANUAL'!E19</f>
        <v>5950855.1300000008</v>
      </c>
      <c r="F19" s="31">
        <f>'FLUXO 2015 ANUAL'!F19</f>
        <v>17804189.25</v>
      </c>
      <c r="G19" s="32">
        <f>'FLUXO 2015 ANUAL'!G19</f>
        <v>1480721.27</v>
      </c>
      <c r="H19" s="32">
        <f>'FLUXO 2015 ANUAL'!H19</f>
        <v>1480721.27</v>
      </c>
      <c r="I19" s="32">
        <f>'FLUXO 2015 ANUAL'!I19</f>
        <v>1480721.27</v>
      </c>
      <c r="J19" s="32">
        <f>'FLUXO 2015 ANUAL'!J19</f>
        <v>1484331.75</v>
      </c>
      <c r="K19" s="32">
        <f>'FLUXO 2015 ANUAL'!K19</f>
        <v>1484523.83</v>
      </c>
      <c r="L19" s="32">
        <f>'FLUXO 2015 ANUAL'!L19</f>
        <v>1480307.02</v>
      </c>
      <c r="M19" s="32">
        <f>'FLUXO 2015 ANUAL'!M19</f>
        <v>1480410.13</v>
      </c>
      <c r="N19" s="32">
        <f>'FLUXO 2015 ANUAL'!N19</f>
        <v>1481597.58</v>
      </c>
      <c r="O19" s="32">
        <f>'FLUXO 2015 ANUAL'!O19</f>
        <v>1481202.09</v>
      </c>
      <c r="P19" s="32">
        <f>'FLUXO 2015 ANUAL'!P19</f>
        <v>1481822.2</v>
      </c>
      <c r="Q19" s="32">
        <f>'FLUXO 2015 ANUAL'!Q19</f>
        <v>1495890.77</v>
      </c>
      <c r="R19" s="32">
        <f>'FLUXO 2015 ANUAL'!R19</f>
        <v>1491940.07</v>
      </c>
    </row>
    <row r="20" spans="1:20" s="9" customFormat="1" ht="25.5" x14ac:dyDescent="0.2">
      <c r="B20" s="112" t="s">
        <v>10</v>
      </c>
      <c r="C20" s="118" t="s">
        <v>48</v>
      </c>
      <c r="D20" s="31">
        <f>'FLUXO 2015 ANUAL'!D20</f>
        <v>1286190.3799999999</v>
      </c>
      <c r="E20" s="31">
        <f>'FLUXO 2015 ANUAL'!E20</f>
        <v>1402957.51</v>
      </c>
      <c r="F20" s="31">
        <f>'FLUXO 2015 ANUAL'!F20</f>
        <v>2689147.8899999997</v>
      </c>
      <c r="G20" s="31">
        <f>'FLUXO 2015 ANUAL'!G20</f>
        <v>0</v>
      </c>
      <c r="H20" s="31">
        <f>'FLUXO 2015 ANUAL'!H20</f>
        <v>71775</v>
      </c>
      <c r="I20" s="31">
        <f>'FLUXO 2015 ANUAL'!I20</f>
        <v>36390.699999999997</v>
      </c>
      <c r="J20" s="31">
        <f>'FLUXO 2015 ANUAL'!J20</f>
        <v>165937.73000000001</v>
      </c>
      <c r="K20" s="31">
        <f>'FLUXO 2015 ANUAL'!K20</f>
        <v>122320.64</v>
      </c>
      <c r="L20" s="31">
        <f>'FLUXO 2015 ANUAL'!L20</f>
        <v>33260.300000000003</v>
      </c>
      <c r="M20" s="31">
        <f>'FLUXO 2015 ANUAL'!M20</f>
        <v>290177.56</v>
      </c>
      <c r="N20" s="31">
        <f>'FLUXO 2015 ANUAL'!N20</f>
        <v>566328.44999999995</v>
      </c>
      <c r="O20" s="31">
        <f>'FLUXO 2015 ANUAL'!O20</f>
        <v>8626.77</v>
      </c>
      <c r="P20" s="31">
        <f>'FLUXO 2015 ANUAL'!P20</f>
        <v>93810.15</v>
      </c>
      <c r="Q20" s="31">
        <f>'FLUXO 2015 ANUAL'!Q20</f>
        <v>62459.519999999997</v>
      </c>
      <c r="R20" s="31">
        <f>'FLUXO 2015 ANUAL'!R20</f>
        <v>1238061.07</v>
      </c>
    </row>
    <row r="21" spans="1:20" s="9" customFormat="1" ht="25.5" x14ac:dyDescent="0.2">
      <c r="B21" s="112" t="s">
        <v>11</v>
      </c>
      <c r="C21" s="118" t="s">
        <v>63</v>
      </c>
      <c r="D21" s="31">
        <f>'FLUXO 2015 ANUAL'!D21</f>
        <v>21991083.829999998</v>
      </c>
      <c r="E21" s="31">
        <f>'FLUXO 2015 ANUAL'!E21</f>
        <v>8165906.0100000007</v>
      </c>
      <c r="F21" s="31">
        <f>'FLUXO 2015 ANUAL'!F21</f>
        <v>30156989.84</v>
      </c>
      <c r="G21" s="31">
        <f>'FLUXO 2015 ANUAL'!G21</f>
        <v>3299893.47</v>
      </c>
      <c r="H21" s="31">
        <f>'FLUXO 2015 ANUAL'!H21</f>
        <v>2917699.3</v>
      </c>
      <c r="I21" s="31">
        <f>'FLUXO 2015 ANUAL'!I21</f>
        <v>2788074.65</v>
      </c>
      <c r="J21" s="31">
        <f>'FLUXO 2015 ANUAL'!J21</f>
        <v>2903332.78</v>
      </c>
      <c r="K21" s="31">
        <f>'FLUXO 2015 ANUAL'!K21</f>
        <v>2697462.36</v>
      </c>
      <c r="L21" s="31">
        <f>'FLUXO 2015 ANUAL'!L21</f>
        <v>2540910.21</v>
      </c>
      <c r="M21" s="31">
        <f>'FLUXO 2015 ANUAL'!M21</f>
        <v>2467157.15</v>
      </c>
      <c r="N21" s="31">
        <f>'FLUXO 2015 ANUAL'!N21</f>
        <v>2376553.91</v>
      </c>
      <c r="O21" s="31">
        <f>'FLUXO 2015 ANUAL'!O21</f>
        <v>2122795.63</v>
      </c>
      <c r="P21" s="31">
        <f>'FLUXO 2015 ANUAL'!P21</f>
        <v>2084234.17</v>
      </c>
      <c r="Q21" s="31">
        <f>'FLUXO 2015 ANUAL'!Q21</f>
        <v>1952198.35</v>
      </c>
      <c r="R21" s="31">
        <f>'FLUXO 2015 ANUAL'!R21</f>
        <v>2006677.86</v>
      </c>
    </row>
    <row r="22" spans="1:20" s="9" customFormat="1" ht="25.5" x14ac:dyDescent="0.2">
      <c r="B22" s="53" t="s">
        <v>12</v>
      </c>
      <c r="C22" s="120" t="s">
        <v>43</v>
      </c>
      <c r="D22" s="31">
        <f>'FLUXO 2015 ANUAL'!D22</f>
        <v>10439185.779999999</v>
      </c>
      <c r="E22" s="31">
        <f>'FLUXO 2015 ANUAL'!E22</f>
        <v>2664143.9099999997</v>
      </c>
      <c r="F22" s="31">
        <f>'FLUXO 2015 ANUAL'!F22</f>
        <v>13103329.689999999</v>
      </c>
      <c r="G22" s="33">
        <f>'FLUXO 2015 ANUAL'!G22</f>
        <v>2061620.13</v>
      </c>
      <c r="H22" s="33">
        <f>'FLUXO 2015 ANUAL'!H22</f>
        <v>1425033.2</v>
      </c>
      <c r="I22" s="33">
        <f>'FLUXO 2015 ANUAL'!I22</f>
        <v>1827663.72</v>
      </c>
      <c r="J22" s="33">
        <f>'FLUXO 2015 ANUAL'!J22</f>
        <v>1145171.99</v>
      </c>
      <c r="K22" s="33">
        <f>'FLUXO 2015 ANUAL'!K22</f>
        <v>1189881.6600000001</v>
      </c>
      <c r="L22" s="33">
        <f>'FLUXO 2015 ANUAL'!L22</f>
        <v>1204993.1200000001</v>
      </c>
      <c r="M22" s="33">
        <f>'FLUXO 2015 ANUAL'!M22</f>
        <v>937663.79</v>
      </c>
      <c r="N22" s="33">
        <f>'FLUXO 2015 ANUAL'!N22</f>
        <v>647158.17000000004</v>
      </c>
      <c r="O22" s="33">
        <f>'FLUXO 2015 ANUAL'!O22</f>
        <v>572717.64</v>
      </c>
      <c r="P22" s="33">
        <f>'FLUXO 2015 ANUAL'!P22</f>
        <v>529256.88</v>
      </c>
      <c r="Q22" s="33">
        <f>'FLUXO 2015 ANUAL'!Q22</f>
        <v>1007207.45</v>
      </c>
      <c r="R22" s="33">
        <f>'FLUXO 2015 ANUAL'!R22</f>
        <v>554961.93999999994</v>
      </c>
    </row>
    <row r="23" spans="1:20" s="48" customFormat="1" ht="25.5" x14ac:dyDescent="0.2">
      <c r="B23" s="112" t="s">
        <v>13</v>
      </c>
      <c r="C23" s="118" t="s">
        <v>45</v>
      </c>
      <c r="D23" s="31">
        <f>'FLUXO 2015 ANUAL'!D23</f>
        <v>-1833183.65</v>
      </c>
      <c r="E23" s="31">
        <f>'FLUXO 2015 ANUAL'!E23</f>
        <v>-252638.64</v>
      </c>
      <c r="F23" s="31">
        <f>'FLUXO 2015 ANUAL'!F23</f>
        <v>-2085822.29</v>
      </c>
      <c r="G23" s="31">
        <f>'FLUXO 2015 ANUAL'!G23</f>
        <v>-422407.13</v>
      </c>
      <c r="H23" s="31">
        <f>'FLUXO 2015 ANUAL'!H23</f>
        <v>-178682.04</v>
      </c>
      <c r="I23" s="31">
        <f>'FLUXO 2015 ANUAL'!I23</f>
        <v>-299927.34999999998</v>
      </c>
      <c r="J23" s="31">
        <f>'FLUXO 2015 ANUAL'!J23</f>
        <v>-297876.40000000002</v>
      </c>
      <c r="K23" s="31">
        <f>'FLUXO 2015 ANUAL'!K23</f>
        <v>-255452.43</v>
      </c>
      <c r="L23" s="31">
        <f>'FLUXO 2015 ANUAL'!L23</f>
        <v>-144134.87</v>
      </c>
      <c r="M23" s="31">
        <f>'FLUXO 2015 ANUAL'!M23</f>
        <v>-170156.83</v>
      </c>
      <c r="N23" s="31">
        <f>'FLUXO 2015 ANUAL'!N23</f>
        <v>-64546.6</v>
      </c>
      <c r="O23" s="31">
        <f>'FLUXO 2015 ANUAL'!O23</f>
        <v>-74546.460000000006</v>
      </c>
      <c r="P23" s="31">
        <f>'FLUXO 2015 ANUAL'!P23</f>
        <v>-52690.64</v>
      </c>
      <c r="Q23" s="31">
        <f>'FLUXO 2015 ANUAL'!Q23</f>
        <v>-103722.09</v>
      </c>
      <c r="R23" s="31">
        <f>'FLUXO 2015 ANUAL'!R23</f>
        <v>-21679.45</v>
      </c>
      <c r="T23" s="99"/>
    </row>
    <row r="24" spans="1:20" s="48" customFormat="1" ht="25.5" x14ac:dyDescent="0.2">
      <c r="B24" s="112" t="s">
        <v>14</v>
      </c>
      <c r="C24" s="118" t="s">
        <v>44</v>
      </c>
      <c r="D24" s="31">
        <f>'FLUXO 2015 ANUAL'!D24</f>
        <v>-3104240.1300000004</v>
      </c>
      <c r="E24" s="31">
        <f>'FLUXO 2015 ANUAL'!E24</f>
        <v>-1298741.31</v>
      </c>
      <c r="F24" s="31">
        <f>'FLUXO 2015 ANUAL'!F24</f>
        <v>-4402981.4400000004</v>
      </c>
      <c r="G24" s="31">
        <f>'FLUXO 2015 ANUAL'!G24</f>
        <v>-363365.23</v>
      </c>
      <c r="H24" s="31">
        <f>'FLUXO 2015 ANUAL'!H24</f>
        <v>-176886.39999999999</v>
      </c>
      <c r="I24" s="31">
        <f>'FLUXO 2015 ANUAL'!I24</f>
        <v>-540500.34</v>
      </c>
      <c r="J24" s="31">
        <f>'FLUXO 2015 ANUAL'!J24</f>
        <v>-319053.11</v>
      </c>
      <c r="K24" s="31">
        <f>'FLUXO 2015 ANUAL'!K24</f>
        <v>-303795.78000000003</v>
      </c>
      <c r="L24" s="31">
        <f>'FLUXO 2015 ANUAL'!L24</f>
        <v>-484325.25</v>
      </c>
      <c r="M24" s="31">
        <f>'FLUXO 2015 ANUAL'!M24</f>
        <v>-590914.21</v>
      </c>
      <c r="N24" s="31">
        <f>'FLUXO 2015 ANUAL'!N24</f>
        <v>-325399.81</v>
      </c>
      <c r="O24" s="31">
        <f>'FLUXO 2015 ANUAL'!O24</f>
        <v>-258856.39</v>
      </c>
      <c r="P24" s="31">
        <f>'FLUXO 2015 ANUAL'!P24</f>
        <v>-296140.94</v>
      </c>
      <c r="Q24" s="31">
        <f>'FLUXO 2015 ANUAL'!Q24</f>
        <v>-554624.22</v>
      </c>
      <c r="R24" s="31">
        <f>'FLUXO 2015 ANUAL'!R24</f>
        <v>-189119.76</v>
      </c>
    </row>
    <row r="25" spans="1:20" s="9" customFormat="1" ht="25.5" x14ac:dyDescent="0.2">
      <c r="B25" s="112" t="s">
        <v>15</v>
      </c>
      <c r="C25" s="118" t="s">
        <v>38</v>
      </c>
      <c r="D25" s="31">
        <f>'FLUXO 2015 ANUAL'!D25</f>
        <v>0</v>
      </c>
      <c r="E25" s="31">
        <f>'FLUXO 2015 ANUAL'!E25</f>
        <v>0</v>
      </c>
      <c r="F25" s="31">
        <f>'FLUXO 2015 ANUAL'!F25</f>
        <v>0</v>
      </c>
      <c r="G25" s="31">
        <f>'FLUXO 2015 ANUAL'!G25</f>
        <v>0</v>
      </c>
      <c r="H25" s="31">
        <f>'FLUXO 2015 ANUAL'!H25</f>
        <v>0</v>
      </c>
      <c r="I25" s="31">
        <f>'FLUXO 2015 ANUAL'!I25</f>
        <v>0</v>
      </c>
      <c r="J25" s="31">
        <f>'FLUXO 2015 ANUAL'!J25</f>
        <v>0</v>
      </c>
      <c r="K25" s="31">
        <f>'FLUXO 2015 ANUAL'!K25</f>
        <v>0</v>
      </c>
      <c r="L25" s="31">
        <f>'FLUXO 2015 ANUAL'!L25</f>
        <v>0</v>
      </c>
      <c r="M25" s="33">
        <f>'FLUXO 2015 ANUAL'!M25</f>
        <v>0</v>
      </c>
      <c r="N25" s="31">
        <f>'FLUXO 2015 ANUAL'!N25</f>
        <v>0</v>
      </c>
      <c r="O25" s="31">
        <f>'FLUXO 2015 ANUAL'!O25</f>
        <v>0</v>
      </c>
      <c r="P25" s="31">
        <f>'FLUXO 2015 ANUAL'!P25</f>
        <v>0</v>
      </c>
      <c r="Q25" s="31">
        <f>'FLUXO 2015 ANUAL'!Q25</f>
        <v>0</v>
      </c>
      <c r="R25" s="31">
        <f>'FLUXO 2015 ANUAL'!R25</f>
        <v>0</v>
      </c>
    </row>
    <row r="26" spans="1:20" s="9" customFormat="1" ht="25.5" x14ac:dyDescent="0.2">
      <c r="B26" s="112" t="s">
        <v>2</v>
      </c>
      <c r="C26" s="118" t="s">
        <v>39</v>
      </c>
      <c r="D26" s="31">
        <f>'FLUXO 2015 ANUAL'!D26</f>
        <v>0</v>
      </c>
      <c r="E26" s="31">
        <f>'FLUXO 2015 ANUAL'!E26</f>
        <v>0</v>
      </c>
      <c r="F26" s="31">
        <f>'FLUXO 2015 ANUAL'!F26</f>
        <v>0</v>
      </c>
      <c r="G26" s="31">
        <f>'FLUXO 2015 ANUAL'!G26</f>
        <v>0</v>
      </c>
      <c r="H26" s="31">
        <f>'FLUXO 2015 ANUAL'!H26</f>
        <v>0</v>
      </c>
      <c r="I26" s="31">
        <f>'FLUXO 2015 ANUAL'!I26</f>
        <v>0</v>
      </c>
      <c r="J26" s="31">
        <f>'FLUXO 2015 ANUAL'!J26</f>
        <v>0</v>
      </c>
      <c r="K26" s="31">
        <f>'FLUXO 2015 ANUAL'!K26</f>
        <v>0</v>
      </c>
      <c r="L26" s="31">
        <f>'FLUXO 2015 ANUAL'!L26</f>
        <v>0</v>
      </c>
      <c r="M26" s="31">
        <f>'FLUXO 2015 ANUAL'!M26</f>
        <v>0</v>
      </c>
      <c r="N26" s="31">
        <f>'FLUXO 2015 ANUAL'!N26</f>
        <v>0</v>
      </c>
      <c r="O26" s="31">
        <f>'FLUXO 2015 ANUAL'!O26</f>
        <v>0</v>
      </c>
      <c r="P26" s="31">
        <f>'FLUXO 2015 ANUAL'!P26</f>
        <v>0</v>
      </c>
      <c r="Q26" s="31">
        <f>'FLUXO 2015 ANUAL'!Q26</f>
        <v>0</v>
      </c>
      <c r="R26" s="31">
        <f>'FLUXO 2015 ANUAL'!R26</f>
        <v>0</v>
      </c>
    </row>
    <row r="27" spans="1:20" s="9" customFormat="1" ht="25.5" x14ac:dyDescent="0.2">
      <c r="B27" s="112" t="s">
        <v>16</v>
      </c>
      <c r="C27" s="118" t="s">
        <v>56</v>
      </c>
      <c r="D27" s="31">
        <f>'FLUXO 2015 ANUAL'!D27</f>
        <v>0</v>
      </c>
      <c r="E27" s="31">
        <f>'FLUXO 2015 ANUAL'!E27</f>
        <v>0</v>
      </c>
      <c r="F27" s="31">
        <f>'FLUXO 2015 ANUAL'!F27</f>
        <v>0</v>
      </c>
      <c r="G27" s="31">
        <f>'FLUXO 2015 ANUAL'!G27</f>
        <v>0</v>
      </c>
      <c r="H27" s="31">
        <f>'FLUXO 2015 ANUAL'!H27</f>
        <v>0</v>
      </c>
      <c r="I27" s="31">
        <f>'FLUXO 2015 ANUAL'!I27</f>
        <v>0</v>
      </c>
      <c r="J27" s="31">
        <f>'FLUXO 2015 ANUAL'!J27</f>
        <v>0</v>
      </c>
      <c r="K27" s="31">
        <f>'FLUXO 2015 ANUAL'!K27</f>
        <v>0</v>
      </c>
      <c r="L27" s="31">
        <f>'FLUXO 2015 ANUAL'!L27</f>
        <v>0</v>
      </c>
      <c r="M27" s="31">
        <f>'FLUXO 2015 ANUAL'!M27</f>
        <v>0</v>
      </c>
      <c r="N27" s="31">
        <f>'FLUXO 2015 ANUAL'!N27</f>
        <v>0</v>
      </c>
      <c r="O27" s="31">
        <f>'FLUXO 2015 ANUAL'!O27</f>
        <v>0</v>
      </c>
      <c r="P27" s="31">
        <f>'FLUXO 2015 ANUAL'!P27</f>
        <v>0</v>
      </c>
      <c r="Q27" s="31">
        <f>'FLUXO 2015 ANUAL'!Q27</f>
        <v>0</v>
      </c>
      <c r="R27" s="31">
        <f>'FLUXO 2015 ANUAL'!R27</f>
        <v>0</v>
      </c>
    </row>
    <row r="28" spans="1:20" s="48" customFormat="1" ht="15.75" x14ac:dyDescent="0.2">
      <c r="B28" s="149" t="s">
        <v>17</v>
      </c>
      <c r="C28" s="121" t="s">
        <v>98</v>
      </c>
      <c r="D28" s="31">
        <f>'FLUXO 2015 ANUAL'!D28</f>
        <v>7213.19</v>
      </c>
      <c r="E28" s="31">
        <f>'FLUXO 2015 ANUAL'!E28</f>
        <v>63299274.420000002</v>
      </c>
      <c r="F28" s="31">
        <f>'FLUXO 2015 ANUAL'!F28</f>
        <v>63306487.609999999</v>
      </c>
      <c r="G28" s="31">
        <f>'FLUXO 2015 ANUAL'!G28</f>
        <v>0</v>
      </c>
      <c r="H28" s="31">
        <f>'FLUXO 2015 ANUAL'!H28</f>
        <v>7213.19</v>
      </c>
      <c r="I28" s="31">
        <f>'FLUXO 2015 ANUAL'!I28</f>
        <v>0</v>
      </c>
      <c r="J28" s="31">
        <f>'FLUXO 2015 ANUAL'!J28</f>
        <v>0</v>
      </c>
      <c r="K28" s="31">
        <f>'FLUXO 2015 ANUAL'!K28</f>
        <v>0</v>
      </c>
      <c r="L28" s="31">
        <f>'FLUXO 2015 ANUAL'!L28</f>
        <v>0</v>
      </c>
      <c r="M28" s="31">
        <f>'FLUXO 2015 ANUAL'!M28</f>
        <v>0</v>
      </c>
      <c r="N28" s="31">
        <f>'FLUXO 2015 ANUAL'!N28</f>
        <v>0</v>
      </c>
      <c r="O28" s="31">
        <f>'FLUXO 2015 ANUAL'!O28</f>
        <v>63299274.420000002</v>
      </c>
      <c r="P28" s="31">
        <f>'FLUXO 2015 ANUAL'!P28</f>
        <v>0</v>
      </c>
      <c r="Q28" s="31">
        <f>'FLUXO 2015 ANUAL'!Q28</f>
        <v>0</v>
      </c>
      <c r="R28" s="31">
        <f>'FLUXO 2015 ANUAL'!R28</f>
        <v>0</v>
      </c>
    </row>
    <row r="29" spans="1:20" s="48" customFormat="1" ht="15.75" x14ac:dyDescent="0.2">
      <c r="B29" s="150"/>
      <c r="C29" s="121" t="s">
        <v>99</v>
      </c>
      <c r="D29" s="31">
        <f>'FLUXO 2015 ANUAL'!D29</f>
        <v>-346306728.32999998</v>
      </c>
      <c r="E29" s="31">
        <f>'FLUXO 2015 ANUAL'!E29</f>
        <v>-56374158.560000002</v>
      </c>
      <c r="F29" s="31">
        <f>'FLUXO 2015 ANUAL'!F29</f>
        <v>-402680886.88999999</v>
      </c>
      <c r="G29" s="31">
        <f>'FLUXO 2015 ANUAL'!G29</f>
        <v>-25493359.280000001</v>
      </c>
      <c r="H29" s="31">
        <f>'FLUXO 2015 ANUAL'!H29</f>
        <v>-56774151.640000001</v>
      </c>
      <c r="I29" s="31">
        <f>'FLUXO 2015 ANUAL'!I29</f>
        <v>-74187772.739999995</v>
      </c>
      <c r="J29" s="31">
        <f>'FLUXO 2015 ANUAL'!J29</f>
        <v>-59176163.789999999</v>
      </c>
      <c r="K29" s="31">
        <f>'FLUXO 2015 ANUAL'!K29</f>
        <v>-39347657.93</v>
      </c>
      <c r="L29" s="31">
        <f>'FLUXO 2015 ANUAL'!L29</f>
        <v>-91327622.950000003</v>
      </c>
      <c r="M29" s="31">
        <f>'FLUXO 2015 ANUAL'!M29</f>
        <v>0</v>
      </c>
      <c r="N29" s="31">
        <f>'FLUXO 2015 ANUAL'!N29</f>
        <v>0</v>
      </c>
      <c r="O29" s="31">
        <f>'FLUXO 2015 ANUAL'!O29</f>
        <v>0</v>
      </c>
      <c r="P29" s="31">
        <f>'FLUXO 2015 ANUAL'!P29</f>
        <v>-31462498.079999998</v>
      </c>
      <c r="Q29" s="31">
        <f>'FLUXO 2015 ANUAL'!Q29</f>
        <v>-13953274.699999999</v>
      </c>
      <c r="R29" s="31">
        <f>'FLUXO 2015 ANUAL'!R29</f>
        <v>-10958385.779999999</v>
      </c>
    </row>
    <row r="30" spans="1:20" s="9" customFormat="1" ht="15.75" x14ac:dyDescent="0.2">
      <c r="B30" s="144" t="s">
        <v>4</v>
      </c>
      <c r="C30" s="120" t="s">
        <v>22</v>
      </c>
      <c r="D30" s="31">
        <f>'FLUXO 2015 ANUAL'!D30</f>
        <v>-1751519217.8299999</v>
      </c>
      <c r="E30" s="31">
        <f>'FLUXO 2015 ANUAL'!E30</f>
        <v>-825063047.20000005</v>
      </c>
      <c r="F30" s="31">
        <f>'FLUXO 2015 ANUAL'!F30</f>
        <v>-2576582265.0299997</v>
      </c>
      <c r="G30" s="31">
        <f>'FLUXO 2015 ANUAL'!G30</f>
        <v>-201521609.51999998</v>
      </c>
      <c r="H30" s="31">
        <f>'FLUXO 2015 ANUAL'!H30</f>
        <v>-216562205.65000001</v>
      </c>
      <c r="I30" s="31">
        <f>'FLUXO 2015 ANUAL'!I30</f>
        <v>-210386289.87</v>
      </c>
      <c r="J30" s="31">
        <f>'FLUXO 2015 ANUAL'!J30</f>
        <v>-210386289.88</v>
      </c>
      <c r="K30" s="31">
        <f>'FLUXO 2015 ANUAL'!K30</f>
        <v>-210431125.61000001</v>
      </c>
      <c r="L30" s="31">
        <f>'FLUXO 2015 ANUAL'!L30</f>
        <v>-215848898.86000001</v>
      </c>
      <c r="M30" s="31">
        <f>'FLUXO 2015 ANUAL'!M30</f>
        <v>-216784289.34</v>
      </c>
      <c r="N30" s="31">
        <f>'FLUXO 2015 ANUAL'!N30</f>
        <v>-269598509.10000002</v>
      </c>
      <c r="O30" s="31">
        <f>'FLUXO 2015 ANUAL'!O30</f>
        <v>-206265761.80000001</v>
      </c>
      <c r="P30" s="31">
        <f>'FLUXO 2015 ANUAL'!P30</f>
        <v>-206265761.80000001</v>
      </c>
      <c r="Q30" s="31">
        <f>'FLUXO 2015 ANUAL'!Q30</f>
        <v>-206265761.80000001</v>
      </c>
      <c r="R30" s="31">
        <f>'FLUXO 2015 ANUAL'!R30</f>
        <v>-206265761.80000001</v>
      </c>
    </row>
    <row r="31" spans="1:20" s="9" customFormat="1" ht="15.75" x14ac:dyDescent="0.2">
      <c r="B31" s="145"/>
      <c r="C31" s="41" t="s">
        <v>25</v>
      </c>
      <c r="D31" s="31">
        <f>'FLUXO 2015 ANUAL'!D31</f>
        <v>-135973274.62</v>
      </c>
      <c r="E31" s="31">
        <f>'FLUXO 2015 ANUAL'!E31</f>
        <v>-69740015.400000006</v>
      </c>
      <c r="F31" s="31">
        <f>'FLUXO 2015 ANUAL'!F31</f>
        <v>-205713290.02000001</v>
      </c>
      <c r="G31" s="34">
        <f>'FLUXO 2015 ANUAL'!G31</f>
        <v>-15033782.189999999</v>
      </c>
      <c r="H31" s="34">
        <f>'FLUXO 2015 ANUAL'!H31</f>
        <v>-18444346.210000001</v>
      </c>
      <c r="I31" s="34">
        <f>'FLUXO 2015 ANUAL'!I31</f>
        <v>-16739064.199999999</v>
      </c>
      <c r="J31" s="34">
        <f>'FLUXO 2015 ANUAL'!J31</f>
        <v>-16739064.199999999</v>
      </c>
      <c r="K31" s="34">
        <f>'FLUXO 2015 ANUAL'!K31</f>
        <v>-16739064.199999999</v>
      </c>
      <c r="L31" s="34">
        <f>'FLUXO 2015 ANUAL'!L31</f>
        <v>-17412372.48</v>
      </c>
      <c r="M31" s="34">
        <f>'FLUXO 2015 ANUAL'!M31</f>
        <v>-17432790.57</v>
      </c>
      <c r="N31" s="34">
        <f>'FLUXO 2015 ANUAL'!N31</f>
        <v>-17432790.57</v>
      </c>
      <c r="O31" s="34">
        <f>'FLUXO 2015 ANUAL'!O31</f>
        <v>-17435003.850000001</v>
      </c>
      <c r="P31" s="34">
        <f>'FLUXO 2015 ANUAL'!P31</f>
        <v>-17435003.850000001</v>
      </c>
      <c r="Q31" s="34">
        <f>'FLUXO 2015 ANUAL'!Q31</f>
        <v>-17435003.850000001</v>
      </c>
      <c r="R31" s="34">
        <f>'FLUXO 2015 ANUAL'!R31</f>
        <v>-17435003.850000001</v>
      </c>
      <c r="S31" s="48"/>
    </row>
    <row r="32" spans="1:20" s="9" customFormat="1" ht="15.75" x14ac:dyDescent="0.2">
      <c r="B32" s="145"/>
      <c r="C32" s="41" t="s">
        <v>103</v>
      </c>
      <c r="D32" s="31">
        <f>'FLUXO 2015 ANUAL'!D32</f>
        <v>-545736113.94000006</v>
      </c>
      <c r="E32" s="31">
        <f>'FLUXO 2015 ANUAL'!E32</f>
        <v>-279149345.95999998</v>
      </c>
      <c r="F32" s="31">
        <f>'FLUXO 2015 ANUAL'!F32</f>
        <v>-824885459.9000001</v>
      </c>
      <c r="G32" s="34">
        <f>'FLUXO 2015 ANUAL'!G32</f>
        <v>-70554997.599999994</v>
      </c>
      <c r="H32" s="34">
        <f>'FLUXO 2015 ANUAL'!H32</f>
        <v>-63807777.18</v>
      </c>
      <c r="I32" s="34">
        <f>'FLUXO 2015 ANUAL'!I32</f>
        <v>-67356062.439999998</v>
      </c>
      <c r="J32" s="34">
        <f>'FLUXO 2015 ANUAL'!J32</f>
        <v>-67356062.439999998</v>
      </c>
      <c r="K32" s="34">
        <f>'FLUXO 2015 ANUAL'!K32</f>
        <v>-67356062.439999998</v>
      </c>
      <c r="L32" s="34">
        <f>'FLUXO 2015 ANUAL'!L32</f>
        <v>-69522302.900000006</v>
      </c>
      <c r="M32" s="34">
        <f>'FLUXO 2015 ANUAL'!M32</f>
        <v>-69750395.799999997</v>
      </c>
      <c r="N32" s="34">
        <f>'FLUXO 2015 ANUAL'!N32</f>
        <v>-70032453.140000001</v>
      </c>
      <c r="O32" s="34">
        <f>'FLUXO 2015 ANUAL'!O32</f>
        <v>-69787336.489999995</v>
      </c>
      <c r="P32" s="34">
        <f>'FLUXO 2015 ANUAL'!P32</f>
        <v>-69787336.489999995</v>
      </c>
      <c r="Q32" s="34">
        <f>'FLUXO 2015 ANUAL'!Q32</f>
        <v>-69787336.489999995</v>
      </c>
      <c r="R32" s="34">
        <f>'FLUXO 2015 ANUAL'!R32</f>
        <v>-69787336.489999995</v>
      </c>
    </row>
    <row r="33" spans="2:18" s="9" customFormat="1" ht="15.75" x14ac:dyDescent="0.2">
      <c r="B33" s="145"/>
      <c r="C33" s="41" t="s">
        <v>150</v>
      </c>
      <c r="D33" s="31">
        <f>'FLUXO 2015 ANUAL'!D33</f>
        <v>-51844776.189999998</v>
      </c>
      <c r="E33" s="31">
        <f>'FLUXO 2015 ANUAL'!E33</f>
        <v>44722210.119999997</v>
      </c>
      <c r="F33" s="31">
        <f>'FLUXO 2015 ANUAL'!F33</f>
        <v>-7122566.0700000003</v>
      </c>
      <c r="G33" s="34">
        <f>'FLUXO 2015 ANUAL'!G33</f>
        <v>0</v>
      </c>
      <c r="H33" s="34">
        <f>'FLUXO 2015 ANUAL'!H33</f>
        <v>0</v>
      </c>
      <c r="I33" s="34">
        <f>'FLUXO 2015 ANUAL'!I33</f>
        <v>0</v>
      </c>
      <c r="J33" s="34">
        <f>'FLUXO 2015 ANUAL'!J33</f>
        <v>0</v>
      </c>
      <c r="K33" s="34">
        <f>'FLUXO 2015 ANUAL'!K33</f>
        <v>0</v>
      </c>
      <c r="L33" s="34">
        <f>'FLUXO 2015 ANUAL'!L33</f>
        <v>0</v>
      </c>
      <c r="M33" s="34">
        <f>'FLUXO 2015 ANUAL'!M33</f>
        <v>0</v>
      </c>
      <c r="N33" s="34">
        <f>'FLUXO 2015 ANUAL'!N33</f>
        <v>-51844776.189999998</v>
      </c>
      <c r="O33" s="34">
        <f>'FLUXO 2015 ANUAL'!O33</f>
        <v>11180552.529999999</v>
      </c>
      <c r="P33" s="34">
        <f>'FLUXO 2015 ANUAL'!P33</f>
        <v>11180552.529999999</v>
      </c>
      <c r="Q33" s="34">
        <f>'FLUXO 2015 ANUAL'!Q33</f>
        <v>11180552.529999999</v>
      </c>
      <c r="R33" s="34">
        <f>'FLUXO 2015 ANUAL'!R33</f>
        <v>11180552.529999999</v>
      </c>
    </row>
    <row r="34" spans="2:18" s="9" customFormat="1" ht="15.75" x14ac:dyDescent="0.2">
      <c r="B34" s="145"/>
      <c r="C34" s="41" t="s">
        <v>104</v>
      </c>
      <c r="D34" s="31">
        <f>'FLUXO 2015 ANUAL'!D34</f>
        <v>-125821445.40000001</v>
      </c>
      <c r="E34" s="31">
        <f>'FLUXO 2015 ANUAL'!E34</f>
        <v>-64013155.920000002</v>
      </c>
      <c r="F34" s="31">
        <f>'FLUXO 2015 ANUAL'!F34</f>
        <v>-189834601.31999999</v>
      </c>
      <c r="G34" s="34">
        <f>'FLUXO 2015 ANUAL'!G34</f>
        <v>-14847294.17</v>
      </c>
      <c r="H34" s="34">
        <f>'FLUXO 2015 ANUAL'!H34</f>
        <v>-16366453.9</v>
      </c>
      <c r="I34" s="34">
        <f>'FLUXO 2015 ANUAL'!I34</f>
        <v>-15606874.029999999</v>
      </c>
      <c r="J34" s="34">
        <f>'FLUXO 2015 ANUAL'!J34</f>
        <v>-15606874.039999999</v>
      </c>
      <c r="K34" s="34">
        <f>'FLUXO 2015 ANUAL'!K34</f>
        <v>-15651709.77</v>
      </c>
      <c r="L34" s="34">
        <f>'FLUXO 2015 ANUAL'!L34</f>
        <v>-15849501.869999999</v>
      </c>
      <c r="M34" s="34">
        <f>'FLUXO 2015 ANUAL'!M34</f>
        <v>-15925230.5</v>
      </c>
      <c r="N34" s="34">
        <f>'FLUXO 2015 ANUAL'!N34</f>
        <v>-15967507.119999999</v>
      </c>
      <c r="O34" s="34">
        <f>'FLUXO 2015 ANUAL'!O34</f>
        <v>-16003288.98</v>
      </c>
      <c r="P34" s="34">
        <f>'FLUXO 2015 ANUAL'!P34</f>
        <v>-16003288.98</v>
      </c>
      <c r="Q34" s="34">
        <f>'FLUXO 2015 ANUAL'!Q34</f>
        <v>-16003288.98</v>
      </c>
      <c r="R34" s="34">
        <f>'FLUXO 2015 ANUAL'!R34</f>
        <v>-16003288.98</v>
      </c>
    </row>
    <row r="35" spans="2:18" s="9" customFormat="1" ht="15.75" x14ac:dyDescent="0.2">
      <c r="B35" s="146"/>
      <c r="C35" s="41" t="s">
        <v>105</v>
      </c>
      <c r="D35" s="31">
        <f>'FLUXO 2015 ANUAL'!D35</f>
        <v>-892143607.68000007</v>
      </c>
      <c r="E35" s="31">
        <f>'FLUXO 2015 ANUAL'!E35</f>
        <v>-456882740.04000002</v>
      </c>
      <c r="F35" s="31">
        <f>'FLUXO 2015 ANUAL'!F35</f>
        <v>-1349026347.72</v>
      </c>
      <c r="G35" s="34">
        <f>'FLUXO 2015 ANUAL'!G35</f>
        <v>-101085535.56</v>
      </c>
      <c r="H35" s="34">
        <f>'FLUXO 2015 ANUAL'!H35</f>
        <v>-117943628.36</v>
      </c>
      <c r="I35" s="34">
        <f>'FLUXO 2015 ANUAL'!I35</f>
        <v>-110684289.2</v>
      </c>
      <c r="J35" s="34">
        <f>'FLUXO 2015 ANUAL'!J35</f>
        <v>-110684289.2</v>
      </c>
      <c r="K35" s="34">
        <f>'FLUXO 2015 ANUAL'!K35</f>
        <v>-110684289.2</v>
      </c>
      <c r="L35" s="34">
        <f>'FLUXO 2015 ANUAL'!L35</f>
        <v>-113064721.61</v>
      </c>
      <c r="M35" s="34">
        <f>'FLUXO 2015 ANUAL'!M35</f>
        <v>-113675872.47</v>
      </c>
      <c r="N35" s="34">
        <f>'FLUXO 2015 ANUAL'!N35</f>
        <v>-114320982.08</v>
      </c>
      <c r="O35" s="34">
        <f>'FLUXO 2015 ANUAL'!O35</f>
        <v>-114220685.01000001</v>
      </c>
      <c r="P35" s="34">
        <f>'FLUXO 2015 ANUAL'!P35</f>
        <v>-114220685.01000001</v>
      </c>
      <c r="Q35" s="34">
        <f>'FLUXO 2015 ANUAL'!Q35</f>
        <v>-114220685.01000001</v>
      </c>
      <c r="R35" s="34">
        <f>'FLUXO 2015 ANUAL'!R35</f>
        <v>-114220685.01000001</v>
      </c>
    </row>
    <row r="36" spans="2:18" s="9" customFormat="1" ht="25.5" x14ac:dyDescent="0.2">
      <c r="B36" s="112" t="s">
        <v>5</v>
      </c>
      <c r="C36" s="118" t="s">
        <v>64</v>
      </c>
      <c r="D36" s="31">
        <f>'FLUXO 2015 ANUAL'!D36</f>
        <v>1832438.21</v>
      </c>
      <c r="E36" s="31">
        <f>'FLUXO 2015 ANUAL'!E36</f>
        <v>0</v>
      </c>
      <c r="F36" s="31">
        <f>'FLUXO 2015 ANUAL'!F36</f>
        <v>1832438.21</v>
      </c>
      <c r="G36" s="31">
        <f>'FLUXO 2015 ANUAL'!G36</f>
        <v>515447.19</v>
      </c>
      <c r="H36" s="31">
        <f>'FLUXO 2015 ANUAL'!H36</f>
        <v>161548.84</v>
      </c>
      <c r="I36" s="31">
        <f>'FLUXO 2015 ANUAL'!I36</f>
        <v>253381.38</v>
      </c>
      <c r="J36" s="31">
        <f>'FLUXO 2015 ANUAL'!J36</f>
        <v>246961.35</v>
      </c>
      <c r="K36" s="31">
        <f>'FLUXO 2015 ANUAL'!K36</f>
        <v>310492.71000000002</v>
      </c>
      <c r="L36" s="31">
        <f>'FLUXO 2015 ANUAL'!L36</f>
        <v>102575.7</v>
      </c>
      <c r="M36" s="31">
        <f>'FLUXO 2015 ANUAL'!M36</f>
        <v>119472.5</v>
      </c>
      <c r="N36" s="31">
        <f>'FLUXO 2015 ANUAL'!N36</f>
        <v>122558.54</v>
      </c>
      <c r="O36" s="31">
        <f>'FLUXO 2015 ANUAL'!O36</f>
        <v>0</v>
      </c>
      <c r="P36" s="31">
        <f>'FLUXO 2015 ANUAL'!P36</f>
        <v>0</v>
      </c>
      <c r="Q36" s="31">
        <f>'FLUXO 2015 ANUAL'!Q36</f>
        <v>0</v>
      </c>
      <c r="R36" s="31">
        <f>'FLUXO 2015 ANUAL'!R36</f>
        <v>0</v>
      </c>
    </row>
    <row r="37" spans="2:18" s="9" customFormat="1" ht="25.5" x14ac:dyDescent="0.2">
      <c r="B37" s="112" t="s">
        <v>27</v>
      </c>
      <c r="C37" s="118" t="s">
        <v>112</v>
      </c>
      <c r="D37" s="31">
        <f>'FLUXO 2015 ANUAL'!D37</f>
        <v>-376133.84</v>
      </c>
      <c r="E37" s="31">
        <f>'FLUXO 2015 ANUAL'!E37</f>
        <v>0</v>
      </c>
      <c r="F37" s="31">
        <f>'FLUXO 2015 ANUAL'!F37</f>
        <v>-376133.84</v>
      </c>
      <c r="G37" s="31">
        <f>'FLUXO 2015 ANUAL'!G37</f>
        <v>0</v>
      </c>
      <c r="H37" s="31">
        <f>'FLUXO 2015 ANUAL'!H37</f>
        <v>0</v>
      </c>
      <c r="I37" s="31">
        <f>'FLUXO 2015 ANUAL'!I37</f>
        <v>0</v>
      </c>
      <c r="J37" s="31">
        <f>'FLUXO 2015 ANUAL'!J37</f>
        <v>0</v>
      </c>
      <c r="K37" s="31">
        <f>'FLUXO 2015 ANUAL'!K37</f>
        <v>0</v>
      </c>
      <c r="L37" s="31">
        <f>'FLUXO 2015 ANUAL'!L37</f>
        <v>0</v>
      </c>
      <c r="M37" s="31">
        <f>'FLUXO 2015 ANUAL'!M37</f>
        <v>0</v>
      </c>
      <c r="N37" s="31">
        <f>'FLUXO 2015 ANUAL'!N37</f>
        <v>-376133.84</v>
      </c>
      <c r="O37" s="31">
        <f>'FLUXO 2015 ANUAL'!O37</f>
        <v>0</v>
      </c>
      <c r="P37" s="31">
        <f>'FLUXO 2015 ANUAL'!P37</f>
        <v>0</v>
      </c>
      <c r="Q37" s="31">
        <f>'FLUXO 2015 ANUAL'!Q37</f>
        <v>0</v>
      </c>
      <c r="R37" s="31">
        <f>'FLUXO 2015 ANUAL'!R37</f>
        <v>0</v>
      </c>
    </row>
    <row r="38" spans="2:18" s="9" customFormat="1" ht="25.5" x14ac:dyDescent="0.2">
      <c r="B38" s="112" t="s">
        <v>28</v>
      </c>
      <c r="C38" s="118" t="s">
        <v>113</v>
      </c>
      <c r="D38" s="31">
        <f>'FLUXO 2015 ANUAL'!D38</f>
        <v>-1099625.3500000001</v>
      </c>
      <c r="E38" s="31">
        <f>'FLUXO 2015 ANUAL'!E38</f>
        <v>0</v>
      </c>
      <c r="F38" s="31">
        <f>'FLUXO 2015 ANUAL'!F38</f>
        <v>-1099625.3500000001</v>
      </c>
      <c r="G38" s="31">
        <f>'FLUXO 2015 ANUAL'!G38</f>
        <v>0</v>
      </c>
      <c r="H38" s="31">
        <f>'FLUXO 2015 ANUAL'!H38</f>
        <v>0</v>
      </c>
      <c r="I38" s="31">
        <f>'FLUXO 2015 ANUAL'!I38</f>
        <v>0</v>
      </c>
      <c r="J38" s="31">
        <f>'FLUXO 2015 ANUAL'!J38</f>
        <v>0</v>
      </c>
      <c r="K38" s="31">
        <f>'FLUXO 2015 ANUAL'!K38</f>
        <v>0</v>
      </c>
      <c r="L38" s="31">
        <f>'FLUXO 2015 ANUAL'!L38</f>
        <v>0</v>
      </c>
      <c r="M38" s="31">
        <f>'FLUXO 2015 ANUAL'!M38</f>
        <v>0</v>
      </c>
      <c r="N38" s="31">
        <f>'FLUXO 2015 ANUAL'!N38</f>
        <v>-1099625.3500000001</v>
      </c>
      <c r="O38" s="31">
        <f>'FLUXO 2015 ANUAL'!O38</f>
        <v>0</v>
      </c>
      <c r="P38" s="31">
        <f>'FLUXO 2015 ANUAL'!P38</f>
        <v>0</v>
      </c>
      <c r="Q38" s="31">
        <f>'FLUXO 2015 ANUAL'!Q38</f>
        <v>0</v>
      </c>
      <c r="R38" s="31">
        <f>'FLUXO 2015 ANUAL'!R38</f>
        <v>0</v>
      </c>
    </row>
    <row r="39" spans="2:18" s="8" customFormat="1" ht="15.75" x14ac:dyDescent="0.2">
      <c r="B39" s="112" t="s">
        <v>30</v>
      </c>
      <c r="C39" s="118" t="s">
        <v>0</v>
      </c>
      <c r="D39" s="31">
        <f>'FLUXO 2015 ANUAL'!D39</f>
        <v>12399415.350000001</v>
      </c>
      <c r="E39" s="31">
        <f>'FLUXO 2015 ANUAL'!E39</f>
        <v>20907267.060000002</v>
      </c>
      <c r="F39" s="31">
        <f>'FLUXO 2015 ANUAL'!F39</f>
        <v>33306682.410000004</v>
      </c>
      <c r="G39" s="31">
        <f>'FLUXO 2015 ANUAL'!G39</f>
        <v>-2811848.85</v>
      </c>
      <c r="H39" s="31">
        <f>'FLUXO 2015 ANUAL'!H39</f>
        <v>-206860.2</v>
      </c>
      <c r="I39" s="31">
        <f>'FLUXO 2015 ANUAL'!I39</f>
        <v>2167957.44</v>
      </c>
      <c r="J39" s="31">
        <f>'FLUXO 2015 ANUAL'!J39</f>
        <v>2375271.85</v>
      </c>
      <c r="K39" s="31">
        <f>'FLUXO 2015 ANUAL'!K39</f>
        <v>5226068.7300000004</v>
      </c>
      <c r="L39" s="31">
        <f>'FLUXO 2015 ANUAL'!L39</f>
        <v>-1954075.84</v>
      </c>
      <c r="M39" s="31">
        <f>'FLUXO 2015 ANUAL'!M39</f>
        <v>1569264.76</v>
      </c>
      <c r="N39" s="31">
        <f>'FLUXO 2015 ANUAL'!N39</f>
        <v>6033637.46</v>
      </c>
      <c r="O39" s="31">
        <f>'FLUXO 2015 ANUAL'!O39</f>
        <v>1384255.97</v>
      </c>
      <c r="P39" s="31">
        <f>'FLUXO 2015 ANUAL'!P39</f>
        <v>-1179078.3</v>
      </c>
      <c r="Q39" s="31">
        <f>'FLUXO 2015 ANUAL'!Q39</f>
        <v>-5921371.3399999999</v>
      </c>
      <c r="R39" s="31">
        <f>'FLUXO 2015 ANUAL'!R39</f>
        <v>26623460.73</v>
      </c>
    </row>
    <row r="40" spans="2:18" s="8" customFormat="1" ht="15.75" x14ac:dyDescent="0.2">
      <c r="B40" s="112" t="s">
        <v>32</v>
      </c>
      <c r="C40" s="118" t="s">
        <v>1</v>
      </c>
      <c r="D40" s="31">
        <f>'FLUXO 2015 ANUAL'!D40</f>
        <v>2718804.71</v>
      </c>
      <c r="E40" s="31">
        <f>'FLUXO 2015 ANUAL'!E40</f>
        <v>4592670.290000001</v>
      </c>
      <c r="F40" s="31">
        <f>'FLUXO 2015 ANUAL'!F40</f>
        <v>7311475.0000000009</v>
      </c>
      <c r="G40" s="31">
        <f>'FLUXO 2015 ANUAL'!G40</f>
        <v>-610467.18000000005</v>
      </c>
      <c r="H40" s="31">
        <f>'FLUXO 2015 ANUAL'!H40</f>
        <v>-44910.44</v>
      </c>
      <c r="I40" s="31">
        <f>'FLUXO 2015 ANUAL'!I40</f>
        <v>470674.97</v>
      </c>
      <c r="J40" s="31">
        <f>'FLUXO 2015 ANUAL'!J40</f>
        <v>515684.02</v>
      </c>
      <c r="K40" s="31">
        <f>'FLUXO 2015 ANUAL'!K40</f>
        <v>1134607.03</v>
      </c>
      <c r="L40" s="31">
        <f>'FLUXO 2015 ANUAL'!L40</f>
        <v>-424240.15</v>
      </c>
      <c r="M40" s="31">
        <f>'FLUXO 2015 ANUAL'!M40</f>
        <v>360352.84</v>
      </c>
      <c r="N40" s="31">
        <f>'FLUXO 2015 ANUAL'!N40</f>
        <v>1317103.6200000001</v>
      </c>
      <c r="O40" s="31">
        <f>'FLUXO 2015 ANUAL'!O40</f>
        <v>305372.74</v>
      </c>
      <c r="P40" s="31">
        <f>'FLUXO 2015 ANUAL'!P40</f>
        <v>-237215.44</v>
      </c>
      <c r="Q40" s="31">
        <f>'FLUXO 2015 ANUAL'!Q40</f>
        <v>-1270426.24</v>
      </c>
      <c r="R40" s="31">
        <f>'FLUXO 2015 ANUAL'!R40</f>
        <v>5794939.2300000004</v>
      </c>
    </row>
    <row r="41" spans="2:18" s="8" customFormat="1" ht="15.75" x14ac:dyDescent="0.2">
      <c r="B41" s="112" t="s">
        <v>33</v>
      </c>
      <c r="C41" s="42" t="s">
        <v>23</v>
      </c>
      <c r="D41" s="31">
        <f>'FLUXO 2015 ANUAL'!D41</f>
        <v>-763483.30999999994</v>
      </c>
      <c r="E41" s="31">
        <f>'FLUXO 2015 ANUAL'!E41</f>
        <v>-378089.01</v>
      </c>
      <c r="F41" s="31">
        <f>'FLUXO 2015 ANUAL'!F41</f>
        <v>-1141572.3199999998</v>
      </c>
      <c r="G41" s="31">
        <f>'FLUXO 2015 ANUAL'!G41</f>
        <v>-95559.97</v>
      </c>
      <c r="H41" s="31">
        <f>'FLUXO 2015 ANUAL'!H41</f>
        <v>-95015.43</v>
      </c>
      <c r="I41" s="31">
        <f>'FLUXO 2015 ANUAL'!I41</f>
        <v>-94974.26</v>
      </c>
      <c r="J41" s="31">
        <f>'FLUXO 2015 ANUAL'!J41</f>
        <v>-93999.88</v>
      </c>
      <c r="K41" s="31">
        <f>'FLUXO 2015 ANUAL'!K41</f>
        <v>-95786.23</v>
      </c>
      <c r="L41" s="31">
        <f>'FLUXO 2015 ANUAL'!L41</f>
        <v>-95778.2</v>
      </c>
      <c r="M41" s="31">
        <f>'FLUXO 2015 ANUAL'!M41</f>
        <v>-96010.6</v>
      </c>
      <c r="N41" s="31">
        <f>'FLUXO 2015 ANUAL'!N41</f>
        <v>-96358.74</v>
      </c>
      <c r="O41" s="31">
        <f>'FLUXO 2015 ANUAL'!O41</f>
        <v>-96357.83</v>
      </c>
      <c r="P41" s="31">
        <f>'FLUXO 2015 ANUAL'!P41</f>
        <v>-95324.61</v>
      </c>
      <c r="Q41" s="31">
        <f>'FLUXO 2015 ANUAL'!Q41</f>
        <v>-93194.61</v>
      </c>
      <c r="R41" s="31">
        <f>'FLUXO 2015 ANUAL'!R41</f>
        <v>-93211.96</v>
      </c>
    </row>
    <row r="42" spans="2:18" s="8" customFormat="1" ht="15.75" x14ac:dyDescent="0.2">
      <c r="B42" s="112" t="s">
        <v>34</v>
      </c>
      <c r="C42" s="118" t="s">
        <v>18</v>
      </c>
      <c r="D42" s="31">
        <f>'FLUXO 2015 ANUAL'!D42</f>
        <v>-10768263.039999999</v>
      </c>
      <c r="E42" s="31">
        <f>'FLUXO 2015 ANUAL'!E42</f>
        <v>-5384131.5199999996</v>
      </c>
      <c r="F42" s="31">
        <f>'FLUXO 2015 ANUAL'!F42</f>
        <v>-16152394.559999999</v>
      </c>
      <c r="G42" s="31">
        <f>'FLUXO 2015 ANUAL'!G42</f>
        <v>-1346032.88</v>
      </c>
      <c r="H42" s="31">
        <f>'FLUXO 2015 ANUAL'!H42</f>
        <v>-1346032.88</v>
      </c>
      <c r="I42" s="31">
        <f>'FLUXO 2015 ANUAL'!I42</f>
        <v>-1346032.88</v>
      </c>
      <c r="J42" s="31">
        <f>'FLUXO 2015 ANUAL'!J42</f>
        <v>-1346032.88</v>
      </c>
      <c r="K42" s="31">
        <f>'FLUXO 2015 ANUAL'!K42</f>
        <v>-1346032.88</v>
      </c>
      <c r="L42" s="31">
        <f>'FLUXO 2015 ANUAL'!L42</f>
        <v>-1346032.88</v>
      </c>
      <c r="M42" s="31">
        <f>'FLUXO 2015 ANUAL'!M42</f>
        <v>-1346032.88</v>
      </c>
      <c r="N42" s="31">
        <f>'FLUXO 2015 ANUAL'!N42</f>
        <v>-1346032.88</v>
      </c>
      <c r="O42" s="31">
        <f>'FLUXO 2015 ANUAL'!O42</f>
        <v>-1346032.88</v>
      </c>
      <c r="P42" s="31">
        <f>'FLUXO 2015 ANUAL'!P42</f>
        <v>-1346032.88</v>
      </c>
      <c r="Q42" s="31">
        <f>'FLUXO 2015 ANUAL'!Q42</f>
        <v>-1346032.88</v>
      </c>
      <c r="R42" s="31">
        <f>'FLUXO 2015 ANUAL'!R42</f>
        <v>-1346032.88</v>
      </c>
    </row>
    <row r="43" spans="2:18" s="8" customFormat="1" ht="25.5" x14ac:dyDescent="0.2">
      <c r="B43" s="112" t="s">
        <v>35</v>
      </c>
      <c r="C43" s="118" t="s">
        <v>62</v>
      </c>
      <c r="D43" s="31">
        <f>'FLUXO 2015 ANUAL'!D43</f>
        <v>0</v>
      </c>
      <c r="E43" s="31">
        <f>'FLUXO 2015 ANUAL'!E43</f>
        <v>0</v>
      </c>
      <c r="F43" s="31">
        <f>'FLUXO 2015 ANUAL'!F43</f>
        <v>0</v>
      </c>
      <c r="G43" s="31">
        <f>'FLUXO 2015 ANUAL'!G43</f>
        <v>0</v>
      </c>
      <c r="H43" s="31">
        <f>'FLUXO 2015 ANUAL'!H43</f>
        <v>0</v>
      </c>
      <c r="I43" s="31">
        <f>'FLUXO 2015 ANUAL'!I43</f>
        <v>0</v>
      </c>
      <c r="J43" s="31">
        <f>'FLUXO 2015 ANUAL'!J43</f>
        <v>0</v>
      </c>
      <c r="K43" s="31">
        <f>'FLUXO 2015 ANUAL'!K43</f>
        <v>0</v>
      </c>
      <c r="L43" s="31">
        <f>'FLUXO 2015 ANUAL'!L43</f>
        <v>0</v>
      </c>
      <c r="M43" s="31">
        <f>'FLUXO 2015 ANUAL'!M43</f>
        <v>0</v>
      </c>
      <c r="N43" s="31">
        <f>'FLUXO 2015 ANUAL'!N43</f>
        <v>0</v>
      </c>
      <c r="O43" s="31">
        <f>'FLUXO 2015 ANUAL'!O43</f>
        <v>0</v>
      </c>
      <c r="P43" s="31">
        <f>'FLUXO 2015 ANUAL'!P43</f>
        <v>0</v>
      </c>
      <c r="Q43" s="31">
        <f>'FLUXO 2015 ANUAL'!Q43</f>
        <v>0</v>
      </c>
      <c r="R43" s="31">
        <f>'FLUXO 2015 ANUAL'!R43</f>
        <v>0</v>
      </c>
    </row>
    <row r="44" spans="2:18" s="8" customFormat="1" ht="15.75" x14ac:dyDescent="0.2">
      <c r="B44" s="112" t="s">
        <v>36</v>
      </c>
      <c r="C44" s="118" t="s">
        <v>42</v>
      </c>
      <c r="D44" s="31">
        <f>'FLUXO 2015 ANUAL'!D44</f>
        <v>0</v>
      </c>
      <c r="E44" s="31">
        <f>'FLUXO 2015 ANUAL'!E44</f>
        <v>0</v>
      </c>
      <c r="F44" s="31">
        <f>'FLUXO 2015 ANUAL'!F44</f>
        <v>0</v>
      </c>
      <c r="G44" s="31">
        <f>'FLUXO 2015 ANUAL'!G44</f>
        <v>0</v>
      </c>
      <c r="H44" s="31">
        <f>'FLUXO 2015 ANUAL'!H44</f>
        <v>0</v>
      </c>
      <c r="I44" s="31">
        <f>'FLUXO 2015 ANUAL'!I44</f>
        <v>0</v>
      </c>
      <c r="J44" s="31">
        <f>'FLUXO 2015 ANUAL'!J44</f>
        <v>0</v>
      </c>
      <c r="K44" s="31">
        <f>'FLUXO 2015 ANUAL'!K44</f>
        <v>0</v>
      </c>
      <c r="L44" s="31">
        <f>'FLUXO 2015 ANUAL'!L44</f>
        <v>0</v>
      </c>
      <c r="M44" s="31">
        <f>'FLUXO 2015 ANUAL'!M44</f>
        <v>0</v>
      </c>
      <c r="N44" s="31">
        <f>'FLUXO 2015 ANUAL'!N44</f>
        <v>0</v>
      </c>
      <c r="O44" s="31">
        <f>'FLUXO 2015 ANUAL'!O44</f>
        <v>0</v>
      </c>
      <c r="P44" s="31">
        <f>'FLUXO 2015 ANUAL'!P44</f>
        <v>0</v>
      </c>
      <c r="Q44" s="31">
        <f>'FLUXO 2015 ANUAL'!Q44</f>
        <v>0</v>
      </c>
      <c r="R44" s="31">
        <f>'FLUXO 2015 ANUAL'!R44</f>
        <v>0</v>
      </c>
    </row>
    <row r="45" spans="2:18" s="8" customFormat="1" ht="15.75" x14ac:dyDescent="0.2">
      <c r="B45" s="112" t="s">
        <v>37</v>
      </c>
      <c r="C45" s="118" t="s">
        <v>65</v>
      </c>
      <c r="D45" s="31">
        <f>'FLUXO 2015 ANUAL'!D45</f>
        <v>0</v>
      </c>
      <c r="E45" s="31">
        <f>'FLUXO 2015 ANUAL'!E45</f>
        <v>0</v>
      </c>
      <c r="F45" s="31">
        <f>'FLUXO 2015 ANUAL'!F45</f>
        <v>0</v>
      </c>
      <c r="G45" s="31">
        <f>'FLUXO 2015 ANUAL'!G45</f>
        <v>0</v>
      </c>
      <c r="H45" s="31">
        <f>'FLUXO 2015 ANUAL'!H45</f>
        <v>0</v>
      </c>
      <c r="I45" s="31">
        <f>'FLUXO 2015 ANUAL'!I45</f>
        <v>0</v>
      </c>
      <c r="J45" s="31">
        <f>'FLUXO 2015 ANUAL'!J45</f>
        <v>0</v>
      </c>
      <c r="K45" s="31">
        <f>'FLUXO 2015 ANUAL'!K45</f>
        <v>0</v>
      </c>
      <c r="L45" s="31">
        <f>'FLUXO 2015 ANUAL'!L45</f>
        <v>0</v>
      </c>
      <c r="M45" s="31">
        <f>'FLUXO 2015 ANUAL'!M45</f>
        <v>0</v>
      </c>
      <c r="N45" s="31">
        <f>'FLUXO 2015 ANUAL'!N45</f>
        <v>0</v>
      </c>
      <c r="O45" s="31">
        <f>'FLUXO 2015 ANUAL'!O45</f>
        <v>0</v>
      </c>
      <c r="P45" s="31">
        <f>'FLUXO 2015 ANUAL'!P45</f>
        <v>0</v>
      </c>
      <c r="Q45" s="31">
        <f>'FLUXO 2015 ANUAL'!Q45</f>
        <v>0</v>
      </c>
      <c r="R45" s="31">
        <f>'FLUXO 2015 ANUAL'!R45</f>
        <v>0</v>
      </c>
    </row>
    <row r="46" spans="2:18" s="8" customFormat="1" ht="25.5" x14ac:dyDescent="0.2">
      <c r="B46" s="112" t="s">
        <v>40</v>
      </c>
      <c r="C46" s="118" t="s">
        <v>19</v>
      </c>
      <c r="D46" s="31">
        <f>'FLUXO 2015 ANUAL'!D46</f>
        <v>0</v>
      </c>
      <c r="E46" s="31">
        <f>'FLUXO 2015 ANUAL'!E46</f>
        <v>0</v>
      </c>
      <c r="F46" s="31">
        <f>'FLUXO 2015 ANUAL'!F46</f>
        <v>0</v>
      </c>
      <c r="G46" s="31">
        <f>'FLUXO 2015 ANUAL'!G46</f>
        <v>0</v>
      </c>
      <c r="H46" s="31">
        <f>'FLUXO 2015 ANUAL'!H46</f>
        <v>0</v>
      </c>
      <c r="I46" s="31">
        <f>'FLUXO 2015 ANUAL'!I46</f>
        <v>0</v>
      </c>
      <c r="J46" s="31">
        <f>'FLUXO 2015 ANUAL'!J46</f>
        <v>0</v>
      </c>
      <c r="K46" s="31">
        <f>'FLUXO 2015 ANUAL'!K46</f>
        <v>0</v>
      </c>
      <c r="L46" s="31">
        <f>'FLUXO 2015 ANUAL'!L46</f>
        <v>0</v>
      </c>
      <c r="M46" s="31">
        <f>'FLUXO 2015 ANUAL'!M46</f>
        <v>0</v>
      </c>
      <c r="N46" s="31">
        <f>'FLUXO 2015 ANUAL'!N46</f>
        <v>0</v>
      </c>
      <c r="O46" s="31">
        <f>'FLUXO 2015 ANUAL'!O46</f>
        <v>0</v>
      </c>
      <c r="P46" s="31">
        <f>'FLUXO 2015 ANUAL'!P46</f>
        <v>0</v>
      </c>
      <c r="Q46" s="31">
        <f>'FLUXO 2015 ANUAL'!Q46</f>
        <v>0</v>
      </c>
      <c r="R46" s="31">
        <f>'FLUXO 2015 ANUAL'!R46</f>
        <v>0</v>
      </c>
    </row>
    <row r="47" spans="2:18" s="48" customFormat="1" ht="15.75" x14ac:dyDescent="0.2">
      <c r="B47" s="112" t="s">
        <v>41</v>
      </c>
      <c r="C47" s="89" t="s">
        <v>102</v>
      </c>
      <c r="D47" s="88">
        <f>'FLUXO 2015 ANUAL'!D47</f>
        <v>-9921324.9600000009</v>
      </c>
      <c r="E47" s="31">
        <f>'FLUXO 2015 ANUAL'!E47</f>
        <v>-307233233.17000002</v>
      </c>
      <c r="F47" s="31">
        <f>'FLUXO 2015 ANUAL'!F47</f>
        <v>-317154558.13</v>
      </c>
      <c r="G47" s="31">
        <f>'FLUXO 2015 ANUAL'!G47</f>
        <v>0</v>
      </c>
      <c r="H47" s="31">
        <f>'FLUXO 2015 ANUAL'!H47</f>
        <v>0</v>
      </c>
      <c r="I47" s="31">
        <f>'FLUXO 2015 ANUAL'!I47</f>
        <v>0</v>
      </c>
      <c r="J47" s="31">
        <f>'FLUXO 2015 ANUAL'!J47</f>
        <v>-9921324.9600000009</v>
      </c>
      <c r="K47" s="31">
        <f>'FLUXO 2015 ANUAL'!K47</f>
        <v>0</v>
      </c>
      <c r="L47" s="31">
        <f>'FLUXO 2015 ANUAL'!L47</f>
        <v>0</v>
      </c>
      <c r="M47" s="31">
        <f>'FLUXO 2015 ANUAL'!M47</f>
        <v>0</v>
      </c>
      <c r="N47" s="31">
        <f>'FLUXO 2015 ANUAL'!N47</f>
        <v>0</v>
      </c>
      <c r="O47" s="31">
        <f>'FLUXO 2015 ANUAL'!O47</f>
        <v>0</v>
      </c>
      <c r="P47" s="31">
        <f>'FLUXO 2015 ANUAL'!P47</f>
        <v>0</v>
      </c>
      <c r="Q47" s="31">
        <f>'FLUXO 2015 ANUAL'!Q47</f>
        <v>0</v>
      </c>
      <c r="R47" s="31">
        <f>'FLUXO 2015 ANUAL'!R47</f>
        <v>-307233233.17000002</v>
      </c>
    </row>
    <row r="48" spans="2:18" s="8" customFormat="1" ht="15.75" x14ac:dyDescent="0.2">
      <c r="B48" s="112" t="s">
        <v>110</v>
      </c>
      <c r="C48" s="64" t="s">
        <v>31</v>
      </c>
      <c r="D48" s="31">
        <f>'FLUXO 2015 ANUAL'!D48</f>
        <v>0</v>
      </c>
      <c r="E48" s="31">
        <f>'FLUXO 2015 ANUAL'!E48</f>
        <v>0</v>
      </c>
      <c r="F48" s="31">
        <f>'FLUXO 2015 ANUAL'!F48</f>
        <v>0</v>
      </c>
      <c r="G48" s="35">
        <f>'FLUXO 2015 ANUAL'!G48</f>
        <v>0</v>
      </c>
      <c r="H48" s="35">
        <f>'FLUXO 2015 ANUAL'!H48</f>
        <v>0</v>
      </c>
      <c r="I48" s="35">
        <f>'FLUXO 2015 ANUAL'!I48</f>
        <v>0</v>
      </c>
      <c r="J48" s="35">
        <f>'FLUXO 2015 ANUAL'!J48</f>
        <v>0</v>
      </c>
      <c r="K48" s="35">
        <f>'FLUXO 2015 ANUAL'!K48</f>
        <v>0</v>
      </c>
      <c r="L48" s="35">
        <f>'FLUXO 2015 ANUAL'!L48</f>
        <v>0</v>
      </c>
      <c r="M48" s="35">
        <f>'FLUXO 2015 ANUAL'!M48</f>
        <v>0</v>
      </c>
      <c r="N48" s="35">
        <f>'FLUXO 2015 ANUAL'!N48</f>
        <v>0</v>
      </c>
      <c r="O48" s="35">
        <f>'FLUXO 2015 ANUAL'!O48</f>
        <v>0</v>
      </c>
      <c r="P48" s="35">
        <f>'FLUXO 2015 ANUAL'!P48</f>
        <v>0</v>
      </c>
      <c r="Q48" s="35">
        <f>'FLUXO 2015 ANUAL'!Q48</f>
        <v>0</v>
      </c>
      <c r="R48" s="35">
        <f>'FLUXO 2015 ANUAL'!R48</f>
        <v>0</v>
      </c>
    </row>
    <row r="49" spans="2:19" s="8" customFormat="1" ht="16.5" thickBot="1" x14ac:dyDescent="0.25">
      <c r="B49" s="90" t="s">
        <v>111</v>
      </c>
      <c r="C49" s="89" t="s">
        <v>50</v>
      </c>
      <c r="D49" s="88">
        <f>'FLUXO 2015 ANUAL'!D49</f>
        <v>-413857.35</v>
      </c>
      <c r="E49" s="31">
        <f>'FLUXO 2015 ANUAL'!E49</f>
        <v>0</v>
      </c>
      <c r="F49" s="31">
        <f>'FLUXO 2015 ANUAL'!F49</f>
        <v>-413857.35</v>
      </c>
      <c r="G49" s="45">
        <f>'FLUXO 2015 ANUAL'!G49</f>
        <v>0</v>
      </c>
      <c r="H49" s="45">
        <f>'FLUXO 2015 ANUAL'!H49</f>
        <v>0</v>
      </c>
      <c r="I49" s="45">
        <f>'FLUXO 2015 ANUAL'!I49</f>
        <v>0</v>
      </c>
      <c r="J49" s="45">
        <f>'FLUXO 2015 ANUAL'!J49</f>
        <v>0</v>
      </c>
      <c r="K49" s="45">
        <f>'FLUXO 2015 ANUAL'!K49</f>
        <v>-6938.31</v>
      </c>
      <c r="L49" s="45">
        <f>'FLUXO 2015 ANUAL'!L49</f>
        <v>0</v>
      </c>
      <c r="M49" s="45">
        <f>'FLUXO 2015 ANUAL'!M49</f>
        <v>-406919.04</v>
      </c>
      <c r="N49" s="45">
        <f>'FLUXO 2015 ANUAL'!N49</f>
        <v>0</v>
      </c>
      <c r="O49" s="45">
        <f>'FLUXO 2015 ANUAL'!O49</f>
        <v>0</v>
      </c>
      <c r="P49" s="45">
        <f>'FLUXO 2015 ANUAL'!P49</f>
        <v>0</v>
      </c>
      <c r="Q49" s="45">
        <f>'FLUXO 2015 ANUAL'!Q49</f>
        <v>0</v>
      </c>
      <c r="R49" s="45">
        <f>'FLUXO 2015 ANUAL'!R49</f>
        <v>0</v>
      </c>
    </row>
    <row r="50" spans="2:19" s="8" customFormat="1" ht="27" thickTop="1" thickBot="1" x14ac:dyDescent="0.25">
      <c r="B50" s="90" t="s">
        <v>141</v>
      </c>
      <c r="C50" s="122" t="s">
        <v>142</v>
      </c>
      <c r="D50" s="88">
        <f>'FLUXO 2015 ANUAL'!D50</f>
        <v>0</v>
      </c>
      <c r="E50" s="31">
        <f>'FLUXO 2015 ANUAL'!E50</f>
        <v>0</v>
      </c>
      <c r="F50" s="31">
        <f>'FLUXO 2015 ANUAL'!F50</f>
        <v>0</v>
      </c>
      <c r="G50" s="45">
        <f>'FLUXO 2015 ANUAL'!G50</f>
        <v>0</v>
      </c>
      <c r="H50" s="45">
        <f>'FLUXO 2015 ANUAL'!H50</f>
        <v>0</v>
      </c>
      <c r="I50" s="45">
        <f>'FLUXO 2015 ANUAL'!I50</f>
        <v>0</v>
      </c>
      <c r="J50" s="45">
        <f>'FLUXO 2015 ANUAL'!J50</f>
        <v>0</v>
      </c>
      <c r="K50" s="45">
        <f>'FLUXO 2015 ANUAL'!K50</f>
        <v>0</v>
      </c>
      <c r="L50" s="45">
        <f>'FLUXO 2015 ANUAL'!L50</f>
        <v>0</v>
      </c>
      <c r="M50" s="45">
        <f>'FLUXO 2015 ANUAL'!M50</f>
        <v>0</v>
      </c>
      <c r="N50" s="45">
        <f>'FLUXO 2015 ANUAL'!N50</f>
        <v>0</v>
      </c>
      <c r="O50" s="45">
        <f>'FLUXO 2015 ANUAL'!O50</f>
        <v>0</v>
      </c>
      <c r="P50" s="45">
        <f>'FLUXO 2015 ANUAL'!P50</f>
        <v>0</v>
      </c>
      <c r="Q50" s="45">
        <f>'FLUXO 2015 ANUAL'!Q50</f>
        <v>0</v>
      </c>
      <c r="R50" s="31">
        <f>'FLUXO 2015 ANUAL'!R50</f>
        <v>0</v>
      </c>
    </row>
    <row r="51" spans="2:19" s="8" customFormat="1" ht="51.75" customHeight="1" thickTop="1" thickBot="1" x14ac:dyDescent="0.25">
      <c r="B51" s="136" t="s">
        <v>47</v>
      </c>
      <c r="C51" s="137"/>
      <c r="D51" s="36">
        <f>'FLUXO 2015 ANUAL'!D51</f>
        <v>-379182496.59000003</v>
      </c>
      <c r="E51" s="36">
        <f>'FLUXO 2015 ANUAL'!E51</f>
        <v>-578291914.6400001</v>
      </c>
      <c r="F51" s="36">
        <f>'FLUXO 2015 ANUAL'!F51</f>
        <v>-578291914.63999915</v>
      </c>
      <c r="G51" s="36">
        <f>'FLUXO 2015 ANUAL'!G51</f>
        <v>-95906199.699999943</v>
      </c>
      <c r="H51" s="36">
        <f>'FLUXO 2015 ANUAL'!H51</f>
        <v>-142140852.84999993</v>
      </c>
      <c r="I51" s="36">
        <f>'FLUXO 2015 ANUAL'!I51</f>
        <v>-200285471.07999992</v>
      </c>
      <c r="J51" s="36">
        <f>'FLUXO 2015 ANUAL'!J51</f>
        <v>-251236830.24999994</v>
      </c>
      <c r="K51" s="36">
        <f>'FLUXO 2015 ANUAL'!K51</f>
        <v>-267736695.85999995</v>
      </c>
      <c r="L51" s="36">
        <f>'FLUXO 2015 ANUAL'!L51</f>
        <v>-352445510.92999995</v>
      </c>
      <c r="M51" s="36">
        <f>'FLUXO 2015 ANUAL'!M51</f>
        <v>-341175177.75</v>
      </c>
      <c r="N51" s="36">
        <f>'FLUXO 2015 ANUAL'!N51</f>
        <v>-379182496.59000003</v>
      </c>
      <c r="O51" s="36">
        <f>'FLUXO 2015 ANUAL'!O51</f>
        <v>-295016890.81000006</v>
      </c>
      <c r="P51" s="36">
        <f>'FLUXO 2015 ANUAL'!P51</f>
        <v>-308950483.5200001</v>
      </c>
      <c r="Q51" s="36">
        <f>'FLUXO 2015 ANUAL'!Q51</f>
        <v>-312198151.6500001</v>
      </c>
      <c r="R51" s="36">
        <f>'FLUXO 2015 ANUAL'!R51</f>
        <v>-578291914.6400001</v>
      </c>
      <c r="S51" s="101"/>
    </row>
    <row r="52" spans="2:19" s="48" customFormat="1" ht="21.75" customHeight="1" thickTop="1" thickBot="1" x14ac:dyDescent="0.25">
      <c r="B52" s="46"/>
      <c r="C52" s="46"/>
      <c r="D52" s="47"/>
      <c r="E52" s="47"/>
      <c r="F52" s="47"/>
      <c r="G52" s="47"/>
      <c r="H52" s="47"/>
      <c r="I52" s="47"/>
      <c r="J52" s="47"/>
      <c r="K52" s="47"/>
      <c r="L52" s="47"/>
      <c r="M52" s="47"/>
      <c r="N52" s="47"/>
      <c r="O52" s="47"/>
      <c r="P52" s="47"/>
      <c r="Q52" s="47"/>
      <c r="R52" s="47"/>
    </row>
    <row r="53" spans="2:19" s="10" customFormat="1" ht="46.5" customHeight="1" thickBot="1" x14ac:dyDescent="0.25">
      <c r="B53" s="134" t="s">
        <v>52</v>
      </c>
      <c r="C53" s="135"/>
      <c r="D53" s="30" t="s">
        <v>83</v>
      </c>
      <c r="E53" s="30" t="s">
        <v>84</v>
      </c>
      <c r="F53" s="30" t="s">
        <v>93</v>
      </c>
      <c r="G53" s="29" t="s">
        <v>85</v>
      </c>
      <c r="H53" s="29" t="s">
        <v>86</v>
      </c>
      <c r="I53" s="29" t="s">
        <v>87</v>
      </c>
      <c r="J53" s="29" t="s">
        <v>88</v>
      </c>
      <c r="K53" s="29" t="s">
        <v>89</v>
      </c>
      <c r="L53" s="29" t="s">
        <v>90</v>
      </c>
      <c r="M53" s="29" t="s">
        <v>91</v>
      </c>
      <c r="N53" s="29" t="s">
        <v>92</v>
      </c>
      <c r="O53" s="29" t="s">
        <v>151</v>
      </c>
      <c r="P53" s="29" t="s">
        <v>152</v>
      </c>
      <c r="Q53" s="29" t="s">
        <v>153</v>
      </c>
      <c r="R53" s="29" t="s">
        <v>154</v>
      </c>
    </row>
    <row r="54" spans="2:19" s="48" customFormat="1" ht="30" customHeight="1" thickBot="1" x14ac:dyDescent="0.25">
      <c r="B54" s="130" t="s">
        <v>97</v>
      </c>
      <c r="C54" s="131"/>
      <c r="D54" s="69">
        <f>'FLUXO 2015 ANUAL'!D54</f>
        <v>31044404.23</v>
      </c>
      <c r="E54" s="69">
        <f>'FLUXO 2015 ANUAL'!E54</f>
        <v>33132717.289999999</v>
      </c>
      <c r="F54" s="69">
        <f>'FLUXO 2015 ANUAL'!F54</f>
        <v>31044404.23</v>
      </c>
      <c r="G54" s="69">
        <f>'FLUXO 2015 ANUAL'!G54</f>
        <v>31044404.23</v>
      </c>
      <c r="H54" s="69">
        <f>'FLUXO 2015 ANUAL'!H54</f>
        <v>31342753.98</v>
      </c>
      <c r="I54" s="69">
        <f>'FLUXO 2015 ANUAL'!I54</f>
        <v>31576693.960000001</v>
      </c>
      <c r="J54" s="69">
        <f>'FLUXO 2015 ANUAL'!J54</f>
        <v>31865035.16</v>
      </c>
      <c r="K54" s="69">
        <f>'FLUXO 2015 ANUAL'!K54</f>
        <v>32141116.66</v>
      </c>
      <c r="L54" s="69">
        <f>'FLUXO 2015 ANUAL'!L54</f>
        <v>32108533.050000001</v>
      </c>
      <c r="M54" s="69">
        <f>'FLUXO 2015 ANUAL'!M54</f>
        <v>32402326.600000001</v>
      </c>
      <c r="N54" s="69">
        <f>'FLUXO 2015 ANUAL'!N54</f>
        <v>32803538.890000001</v>
      </c>
      <c r="O54" s="69">
        <f>'FLUXO 2015 ANUAL'!O54</f>
        <v>33132717.289999999</v>
      </c>
      <c r="P54" s="69">
        <f>'FLUXO 2015 ANUAL'!P54</f>
        <v>33443852.890000001</v>
      </c>
      <c r="Q54" s="69">
        <f>'FLUXO 2015 ANUAL'!Q54</f>
        <v>33855353.259999998</v>
      </c>
      <c r="R54" s="69">
        <f>'FLUXO 2015 ANUAL'!R54</f>
        <v>33794262.129999995</v>
      </c>
    </row>
    <row r="55" spans="2:19" s="48" customFormat="1" ht="31.5" customHeight="1" x14ac:dyDescent="0.2">
      <c r="B55" s="138" t="s">
        <v>57</v>
      </c>
      <c r="C55" s="139"/>
      <c r="D55" s="65">
        <f>'FLUXO 2015 ANUAL'!D55</f>
        <v>0</v>
      </c>
      <c r="E55" s="65">
        <f>'FLUXO 2015 ANUAL'!E55</f>
        <v>0</v>
      </c>
      <c r="F55" s="65">
        <f>'FLUXO 2015 ANUAL'!F55</f>
        <v>0</v>
      </c>
      <c r="G55" s="65">
        <f>'FLUXO 2015 ANUAL'!G55</f>
        <v>0</v>
      </c>
      <c r="H55" s="65">
        <f>'FLUXO 2015 ANUAL'!H55</f>
        <v>0</v>
      </c>
      <c r="I55" s="65">
        <f>'FLUXO 2015 ANUAL'!I55</f>
        <v>0</v>
      </c>
      <c r="J55" s="65">
        <f>'FLUXO 2015 ANUAL'!J55</f>
        <v>0</v>
      </c>
      <c r="K55" s="65">
        <f>'FLUXO 2015 ANUAL'!K55</f>
        <v>0</v>
      </c>
      <c r="L55" s="65">
        <f>'FLUXO 2015 ANUAL'!L55</f>
        <v>0</v>
      </c>
      <c r="M55" s="65">
        <f>'FLUXO 2015 ANUAL'!M55</f>
        <v>0</v>
      </c>
      <c r="N55" s="65">
        <f>'FLUXO 2015 ANUAL'!N55</f>
        <v>0</v>
      </c>
      <c r="O55" s="65">
        <f>'FLUXO 2015 ANUAL'!O55</f>
        <v>0</v>
      </c>
      <c r="P55" s="65">
        <f>'FLUXO 2015 ANUAL'!P55</f>
        <v>0</v>
      </c>
      <c r="Q55" s="65">
        <f>'FLUXO 2015 ANUAL'!Q55</f>
        <v>0</v>
      </c>
      <c r="R55" s="65">
        <f>'FLUXO 2015 ANUAL'!R55</f>
        <v>0</v>
      </c>
      <c r="S55" s="105"/>
    </row>
    <row r="56" spans="2:19" s="48" customFormat="1" ht="44.25" customHeight="1" thickBot="1" x14ac:dyDescent="0.25">
      <c r="B56" s="128" t="s">
        <v>59</v>
      </c>
      <c r="C56" s="129"/>
      <c r="D56" s="66">
        <f>'FLUXO 2015 ANUAL'!D56</f>
        <v>2421989.1800000002</v>
      </c>
      <c r="E56" s="66">
        <f>'FLUXO 2015 ANUAL'!E56</f>
        <v>1481342.3199999998</v>
      </c>
      <c r="F56" s="66">
        <f>'FLUXO 2015 ANUAL'!F56</f>
        <v>3903331.5</v>
      </c>
      <c r="G56" s="66">
        <f>'FLUXO 2015 ANUAL'!G56</f>
        <v>298349.75</v>
      </c>
      <c r="H56" s="66">
        <f>'FLUXO 2015 ANUAL'!H56</f>
        <v>233939.98</v>
      </c>
      <c r="I56" s="66">
        <f>'FLUXO 2015 ANUAL'!I56</f>
        <v>288341.2</v>
      </c>
      <c r="J56" s="66">
        <f>'FLUXO 2015 ANUAL'!J56</f>
        <v>276081.5</v>
      </c>
      <c r="K56" s="66">
        <f>'FLUXO 2015 ANUAL'!K56</f>
        <v>301092.51</v>
      </c>
      <c r="L56" s="66">
        <f>'FLUXO 2015 ANUAL'!L56</f>
        <v>293793.55</v>
      </c>
      <c r="M56" s="66">
        <f>'FLUXO 2015 ANUAL'!M56</f>
        <v>401212.29</v>
      </c>
      <c r="N56" s="66">
        <f>'FLUXO 2015 ANUAL'!N56</f>
        <v>329178.40000000002</v>
      </c>
      <c r="O56" s="66">
        <f>'FLUXO 2015 ANUAL'!O56</f>
        <v>311135.59999999998</v>
      </c>
      <c r="P56" s="66">
        <f>'FLUXO 2015 ANUAL'!P56</f>
        <v>411500.37</v>
      </c>
      <c r="Q56" s="66">
        <f>'FLUXO 2015 ANUAL'!Q56</f>
        <v>360341.14</v>
      </c>
      <c r="R56" s="66">
        <f>'FLUXO 2015 ANUAL'!R56</f>
        <v>398365.21</v>
      </c>
    </row>
    <row r="57" spans="2:19" s="48" customFormat="1" ht="44.25" customHeight="1" thickBot="1" x14ac:dyDescent="0.25">
      <c r="B57" s="128" t="s">
        <v>60</v>
      </c>
      <c r="C57" s="129"/>
      <c r="D57" s="66">
        <f>'FLUXO 2015 ANUAL'!D57</f>
        <v>-333676.12</v>
      </c>
      <c r="E57" s="66">
        <f>'FLUXO 2015 ANUAL'!E57</f>
        <v>-421432.27</v>
      </c>
      <c r="F57" s="66">
        <f>'FLUXO 2015 ANUAL'!F57</f>
        <v>-755108.39</v>
      </c>
      <c r="G57" s="67">
        <f>'FLUXO 2015 ANUAL'!G57</f>
        <v>0</v>
      </c>
      <c r="H57" s="67">
        <f>'FLUXO 2015 ANUAL'!H57</f>
        <v>0</v>
      </c>
      <c r="I57" s="67">
        <f>'FLUXO 2015 ANUAL'!I57</f>
        <v>0</v>
      </c>
      <c r="J57" s="67">
        <f>'FLUXO 2015 ANUAL'!J57</f>
        <v>0</v>
      </c>
      <c r="K57" s="67">
        <f>'FLUXO 2015 ANUAL'!K57</f>
        <v>-333676.12</v>
      </c>
      <c r="L57" s="67">
        <f>'FLUXO 2015 ANUAL'!L57</f>
        <v>0</v>
      </c>
      <c r="M57" s="67">
        <f>'FLUXO 2015 ANUAL'!M57</f>
        <v>0</v>
      </c>
      <c r="N57" s="67">
        <f>'FLUXO 2015 ANUAL'!N57</f>
        <v>0</v>
      </c>
      <c r="O57" s="67">
        <f>'FLUXO 2015 ANUAL'!O57</f>
        <v>0</v>
      </c>
      <c r="P57" s="67">
        <f>'FLUXO 2015 ANUAL'!P57</f>
        <v>0</v>
      </c>
      <c r="Q57" s="67">
        <f>'FLUXO 2015 ANUAL'!Q57</f>
        <v>-421432.27</v>
      </c>
      <c r="R57" s="67">
        <f>'FLUXO 2015 ANUAL'!R57</f>
        <v>0</v>
      </c>
    </row>
    <row r="58" spans="2:19" s="48" customFormat="1" ht="44.25" customHeight="1" thickBot="1" x14ac:dyDescent="0.25">
      <c r="B58" s="128" t="s">
        <v>100</v>
      </c>
      <c r="C58" s="129"/>
      <c r="D58" s="66">
        <f>'FLUXO 2015 ANUAL'!D58</f>
        <v>0</v>
      </c>
      <c r="E58" s="66">
        <f>'FLUXO 2015 ANUAL'!E58</f>
        <v>0</v>
      </c>
      <c r="F58" s="66">
        <f>'FLUXO 2015 ANUAL'!F58</f>
        <v>0</v>
      </c>
      <c r="G58" s="87">
        <f>'FLUXO 2015 ANUAL'!G58</f>
        <v>0</v>
      </c>
      <c r="H58" s="87">
        <f>'FLUXO 2015 ANUAL'!H58</f>
        <v>0</v>
      </c>
      <c r="I58" s="87">
        <f>'FLUXO 2015 ANUAL'!I58</f>
        <v>0</v>
      </c>
      <c r="J58" s="87">
        <f>'FLUXO 2015 ANUAL'!J58</f>
        <v>0</v>
      </c>
      <c r="K58" s="87">
        <f>'FLUXO 2015 ANUAL'!K58</f>
        <v>0</v>
      </c>
      <c r="L58" s="87">
        <f>'FLUXO 2015 ANUAL'!L58</f>
        <v>0</v>
      </c>
      <c r="M58" s="87">
        <f>'FLUXO 2015 ANUAL'!M58</f>
        <v>0</v>
      </c>
      <c r="N58" s="87">
        <f>'FLUXO 2015 ANUAL'!N58</f>
        <v>0</v>
      </c>
      <c r="O58" s="87">
        <f>'FLUXO 2015 ANUAL'!O58</f>
        <v>0</v>
      </c>
      <c r="P58" s="87">
        <f>'FLUXO 2015 ANUAL'!P58</f>
        <v>0</v>
      </c>
      <c r="Q58" s="87">
        <f>'FLUXO 2015 ANUAL'!Q58</f>
        <v>0</v>
      </c>
      <c r="R58" s="87">
        <f>'FLUXO 2015 ANUAL'!R58</f>
        <v>0</v>
      </c>
    </row>
    <row r="59" spans="2:19" s="10" customFormat="1" ht="35.25" customHeight="1" thickTop="1" thickBot="1" x14ac:dyDescent="0.25">
      <c r="B59" s="136" t="s">
        <v>49</v>
      </c>
      <c r="C59" s="137"/>
      <c r="D59" s="36">
        <f>'FLUXO 2015 ANUAL'!D59</f>
        <v>33132717.289999999</v>
      </c>
      <c r="E59" s="36">
        <f>'FLUXO 2015 ANUAL'!E59</f>
        <v>34192627.339999996</v>
      </c>
      <c r="F59" s="36">
        <f>'FLUXO 2015 ANUAL'!F59</f>
        <v>34192627.340000004</v>
      </c>
      <c r="G59" s="36">
        <f>'FLUXO 2015 ANUAL'!G59</f>
        <v>31342753.98</v>
      </c>
      <c r="H59" s="36">
        <f>'FLUXO 2015 ANUAL'!H59</f>
        <v>31576693.960000001</v>
      </c>
      <c r="I59" s="36">
        <f>'FLUXO 2015 ANUAL'!I59</f>
        <v>31865035.16</v>
      </c>
      <c r="J59" s="36">
        <f>'FLUXO 2015 ANUAL'!J59</f>
        <v>32141116.66</v>
      </c>
      <c r="K59" s="36">
        <f>'FLUXO 2015 ANUAL'!K59</f>
        <v>32108533.050000001</v>
      </c>
      <c r="L59" s="36">
        <f>'FLUXO 2015 ANUAL'!L59</f>
        <v>32402326.600000001</v>
      </c>
      <c r="M59" s="36">
        <f>'FLUXO 2015 ANUAL'!M59</f>
        <v>32803538.890000001</v>
      </c>
      <c r="N59" s="36">
        <f>'FLUXO 2015 ANUAL'!N59</f>
        <v>33132717.289999999</v>
      </c>
      <c r="O59" s="36">
        <f>'FLUXO 2015 ANUAL'!O59</f>
        <v>33443852.890000001</v>
      </c>
      <c r="P59" s="36">
        <f>'FLUXO 2015 ANUAL'!P59</f>
        <v>33855353.259999998</v>
      </c>
      <c r="Q59" s="36">
        <f>'FLUXO 2015 ANUAL'!Q59</f>
        <v>33794262.129999995</v>
      </c>
      <c r="R59" s="36">
        <f>'FLUXO 2015 ANUAL'!R59</f>
        <v>34192627.339999996</v>
      </c>
    </row>
    <row r="60" spans="2:19" ht="11.25" customHeight="1" thickTop="1" x14ac:dyDescent="0.2"/>
    <row r="61" spans="2:19" ht="15" customHeight="1" thickBot="1" x14ac:dyDescent="0.25">
      <c r="O61" s="55"/>
    </row>
    <row r="62" spans="2:19" s="10" customFormat="1" ht="46.5" customHeight="1" thickBot="1" x14ac:dyDescent="0.25">
      <c r="B62" s="134" t="s">
        <v>53</v>
      </c>
      <c r="C62" s="135"/>
      <c r="D62" s="30" t="s">
        <v>83</v>
      </c>
      <c r="E62" s="30" t="s">
        <v>84</v>
      </c>
      <c r="F62" s="30" t="s">
        <v>93</v>
      </c>
      <c r="G62" s="29" t="s">
        <v>85</v>
      </c>
      <c r="H62" s="29" t="s">
        <v>86</v>
      </c>
      <c r="I62" s="29" t="s">
        <v>87</v>
      </c>
      <c r="J62" s="29" t="s">
        <v>88</v>
      </c>
      <c r="K62" s="29" t="s">
        <v>89</v>
      </c>
      <c r="L62" s="29" t="s">
        <v>90</v>
      </c>
      <c r="M62" s="29" t="s">
        <v>91</v>
      </c>
      <c r="N62" s="29" t="s">
        <v>92</v>
      </c>
      <c r="O62" s="29" t="s">
        <v>151</v>
      </c>
      <c r="P62" s="29" t="s">
        <v>152</v>
      </c>
      <c r="Q62" s="29" t="s">
        <v>153</v>
      </c>
      <c r="R62" s="29" t="s">
        <v>154</v>
      </c>
    </row>
    <row r="63" spans="2:19" s="48" customFormat="1" ht="30" customHeight="1" thickBot="1" x14ac:dyDescent="0.25">
      <c r="B63" s="130" t="s">
        <v>96</v>
      </c>
      <c r="C63" s="131"/>
      <c r="D63" s="69">
        <f>'FLUXO 2015 ANUAL'!D63</f>
        <v>372343058.13</v>
      </c>
      <c r="E63" s="69">
        <f>'FLUXO 2015 ANUAL'!E63</f>
        <v>359733078.99000007</v>
      </c>
      <c r="F63" s="69">
        <f>'FLUXO 2015 ANUAL'!F63</f>
        <v>372343058.13</v>
      </c>
      <c r="G63" s="69">
        <f>'FLUXO 2015 ANUAL'!G63</f>
        <v>372343058.13</v>
      </c>
      <c r="H63" s="69">
        <f>'FLUXO 2015 ANUAL'!H63</f>
        <v>378147868.32999998</v>
      </c>
      <c r="I63" s="69">
        <f>'FLUXO 2015 ANUAL'!I63</f>
        <v>379806896.64999998</v>
      </c>
      <c r="J63" s="69">
        <f>'FLUXO 2015 ANUAL'!J63</f>
        <v>380894580.10999995</v>
      </c>
      <c r="K63" s="69">
        <f>'FLUXO 2015 ANUAL'!K63</f>
        <v>384828922.35999995</v>
      </c>
      <c r="L63" s="69">
        <f>'FLUXO 2015 ANUAL'!L63</f>
        <v>387354434.69999999</v>
      </c>
      <c r="M63" s="69">
        <f>'FLUXO 2015 ANUAL'!M63</f>
        <v>389142790.45999998</v>
      </c>
      <c r="N63" s="69">
        <f>'FLUXO 2015 ANUAL'!N63</f>
        <v>358432723.24000001</v>
      </c>
      <c r="O63" s="69">
        <f>'FLUXO 2015 ANUAL'!O63</f>
        <v>359733078.99000001</v>
      </c>
      <c r="P63" s="69">
        <f>'FLUXO 2015 ANUAL'!P63</f>
        <v>369842073.67000002</v>
      </c>
      <c r="Q63" s="69">
        <f>'FLUXO 2015 ANUAL'!Q63</f>
        <v>383168725.37</v>
      </c>
      <c r="R63" s="69">
        <f>'FLUXO 2015 ANUAL'!R63</f>
        <v>390440258.64000005</v>
      </c>
    </row>
    <row r="64" spans="2:19" s="48" customFormat="1" ht="31.5" customHeight="1" thickBot="1" x14ac:dyDescent="0.25">
      <c r="B64" s="138" t="s">
        <v>108</v>
      </c>
      <c r="C64" s="139"/>
      <c r="D64" s="65">
        <f>'FLUXO 2015 ANUAL'!D64</f>
        <v>-266960105.80999997</v>
      </c>
      <c r="E64" s="65">
        <f>'FLUXO 2015 ANUAL'!E64</f>
        <v>-598445411.04999995</v>
      </c>
      <c r="F64" s="65">
        <f>'FLUXO 2015 ANUAL'!F64</f>
        <v>-865405516.8599999</v>
      </c>
      <c r="G64" s="65">
        <f>'FLUXO 2015 ANUAL'!G64</f>
        <v>0</v>
      </c>
      <c r="H64" s="65">
        <f>'FLUXO 2015 ANUAL'!H64</f>
        <v>0</v>
      </c>
      <c r="I64" s="65">
        <f>'FLUXO 2015 ANUAL'!I64</f>
        <v>0</v>
      </c>
      <c r="J64" s="65">
        <f>'FLUXO 2015 ANUAL'!J64</f>
        <v>0</v>
      </c>
      <c r="K64" s="65">
        <f>'FLUXO 2015 ANUAL'!K64</f>
        <v>-22033195.93</v>
      </c>
      <c r="L64" s="65">
        <f>'FLUXO 2015 ANUAL'!L64</f>
        <v>-51116250.170000002</v>
      </c>
      <c r="M64" s="65">
        <f>'FLUXO 2015 ANUAL'!M64</f>
        <v>-85157435.109999999</v>
      </c>
      <c r="N64" s="65">
        <f>'FLUXO 2015 ANUAL'!N64</f>
        <v>-108653224.59999999</v>
      </c>
      <c r="O64" s="65">
        <f>'FLUXO 2015 ANUAL'!O64</f>
        <v>-77606464.640000001</v>
      </c>
      <c r="P64" s="65">
        <f>'FLUXO 2015 ANUAL'!P64</f>
        <v>-67375564.549999997</v>
      </c>
      <c r="Q64" s="65">
        <f>'FLUXO 2015 ANUAL'!Q64</f>
        <v>-67192993.390000001</v>
      </c>
      <c r="R64" s="65">
        <f>'FLUXO 2015 ANUAL'!R64</f>
        <v>-386270388.47000003</v>
      </c>
    </row>
    <row r="65" spans="2:19" s="48" customFormat="1" ht="31.5" customHeight="1" x14ac:dyDescent="0.2">
      <c r="B65" s="138" t="s">
        <v>107</v>
      </c>
      <c r="C65" s="139"/>
      <c r="D65" s="65">
        <f>'FLUXO 2015 ANUAL'!D65</f>
        <v>234681909.61000001</v>
      </c>
      <c r="E65" s="65">
        <f>'FLUXO 2015 ANUAL'!E65</f>
        <v>339660865.86000001</v>
      </c>
      <c r="F65" s="65">
        <f>'FLUXO 2015 ANUAL'!F65</f>
        <v>574342775.47000003</v>
      </c>
      <c r="G65" s="93">
        <f>'FLUXO 2015 ANUAL'!G65</f>
        <v>0</v>
      </c>
      <c r="H65" s="93">
        <f>'FLUXO 2015 ANUAL'!H65</f>
        <v>0</v>
      </c>
      <c r="I65" s="93">
        <f>'FLUXO 2015 ANUAL'!I65</f>
        <v>0</v>
      </c>
      <c r="J65" s="93">
        <f>'FLUXO 2015 ANUAL'!J65</f>
        <v>0</v>
      </c>
      <c r="K65" s="93">
        <f>'FLUXO 2015 ANUAL'!K65</f>
        <v>22033195.629999999</v>
      </c>
      <c r="L65" s="93">
        <f>'FLUXO 2015 ANUAL'!L65</f>
        <v>51116250.170000002</v>
      </c>
      <c r="M65" s="93">
        <f>'FLUXO 2015 ANUAL'!M65</f>
        <v>50177315.030000001</v>
      </c>
      <c r="N65" s="93">
        <f>'FLUXO 2015 ANUAL'!N65</f>
        <v>111355148.78</v>
      </c>
      <c r="O65" s="93">
        <f>'FLUXO 2015 ANUAL'!O65</f>
        <v>88920430.959999993</v>
      </c>
      <c r="P65" s="93">
        <f>'FLUXO 2015 ANUAL'!P65</f>
        <v>77172624.989999995</v>
      </c>
      <c r="Q65" s="93">
        <f>'FLUXO 2015 ANUAL'!Q65</f>
        <v>72411251.219999999</v>
      </c>
      <c r="R65" s="93">
        <f>'FLUXO 2015 ANUAL'!R65</f>
        <v>101156558.69</v>
      </c>
      <c r="S65" s="105"/>
    </row>
    <row r="66" spans="2:19" s="48" customFormat="1" ht="44.25" customHeight="1" thickBot="1" x14ac:dyDescent="0.25">
      <c r="B66" s="128" t="s">
        <v>58</v>
      </c>
      <c r="C66" s="129"/>
      <c r="D66" s="66">
        <f>'FLUXO 2015 ANUAL'!D66</f>
        <v>23890915.999999996</v>
      </c>
      <c r="E66" s="66">
        <f>'FLUXO 2015 ANUAL'!E66</f>
        <v>9264725.2799999993</v>
      </c>
      <c r="F66" s="66">
        <f>'FLUXO 2015 ANUAL'!F66</f>
        <v>33155641.279999994</v>
      </c>
      <c r="G66" s="66">
        <f>'FLUXO 2015 ANUAL'!G66</f>
        <v>5804810.2000000002</v>
      </c>
      <c r="H66" s="66">
        <f>'FLUXO 2015 ANUAL'!H66</f>
        <v>1659028.32</v>
      </c>
      <c r="I66" s="66">
        <f>'FLUXO 2015 ANUAL'!I66</f>
        <v>1087683.46</v>
      </c>
      <c r="J66" s="66">
        <f>'FLUXO 2015 ANUAL'!J66</f>
        <v>3934342.25</v>
      </c>
      <c r="K66" s="66">
        <f>'FLUXO 2015 ANUAL'!K66</f>
        <v>5416050.9699999997</v>
      </c>
      <c r="L66" s="66">
        <f>'FLUXO 2015 ANUAL'!L66</f>
        <v>1964510.25</v>
      </c>
      <c r="M66" s="66">
        <f>'FLUXO 2015 ANUAL'!M66</f>
        <v>4784000.74</v>
      </c>
      <c r="N66" s="66">
        <f>'FLUXO 2015 ANUAL'!N66</f>
        <v>-759510.19</v>
      </c>
      <c r="O66" s="66">
        <f>'FLUXO 2015 ANUAL'!O66</f>
        <v>-797775.38000000012</v>
      </c>
      <c r="P66" s="66">
        <f>'FLUXO 2015 ANUAL'!P66</f>
        <v>3916795.02</v>
      </c>
      <c r="Q66" s="66">
        <f>'FLUXO 2015 ANUAL'!Q66</f>
        <v>3546909.56</v>
      </c>
      <c r="R66" s="66">
        <f>'FLUXO 2015 ANUAL'!R66</f>
        <v>2598796.08</v>
      </c>
    </row>
    <row r="67" spans="2:19" s="48" customFormat="1" ht="44.25" customHeight="1" thickBot="1" x14ac:dyDescent="0.25">
      <c r="B67" s="128" t="s">
        <v>61</v>
      </c>
      <c r="C67" s="129"/>
      <c r="D67" s="67">
        <f>'FLUXO 2015 ANUAL'!D67</f>
        <v>-4222698.9400000004</v>
      </c>
      <c r="E67" s="67">
        <f>'FLUXO 2015 ANUAL'!E67</f>
        <v>-3130243.41</v>
      </c>
      <c r="F67" s="66">
        <f>'FLUXO 2015 ANUAL'!F67</f>
        <v>-7352942.3500000006</v>
      </c>
      <c r="G67" s="67">
        <f>'FLUXO 2015 ANUAL'!G67</f>
        <v>0</v>
      </c>
      <c r="H67" s="67">
        <f>'FLUXO 2015 ANUAL'!H67</f>
        <v>0</v>
      </c>
      <c r="I67" s="67">
        <f>'FLUXO 2015 ANUAL'!I67</f>
        <v>0</v>
      </c>
      <c r="J67" s="67">
        <f>'FLUXO 2015 ANUAL'!J67</f>
        <v>0</v>
      </c>
      <c r="K67" s="67">
        <f>'FLUXO 2015 ANUAL'!K67</f>
        <v>-2890538.33</v>
      </c>
      <c r="L67" s="67">
        <f>'FLUXO 2015 ANUAL'!L67</f>
        <v>-176154.49</v>
      </c>
      <c r="M67" s="67">
        <f>'FLUXO 2015 ANUAL'!M67</f>
        <v>-513947.88</v>
      </c>
      <c r="N67" s="67">
        <f>'FLUXO 2015 ANUAL'!N67</f>
        <v>-642058.23999999999</v>
      </c>
      <c r="O67" s="67">
        <f>'FLUXO 2015 ANUAL'!O67</f>
        <v>-407196.26</v>
      </c>
      <c r="P67" s="67">
        <f>'FLUXO 2015 ANUAL'!P67</f>
        <v>-387203.76</v>
      </c>
      <c r="Q67" s="67">
        <f>'FLUXO 2015 ANUAL'!Q67</f>
        <v>-1493634.12</v>
      </c>
      <c r="R67" s="67">
        <f>'FLUXO 2015 ANUAL'!R67</f>
        <v>-842209.27</v>
      </c>
    </row>
    <row r="68" spans="2:19" s="48" customFormat="1" ht="44.25" customHeight="1" thickBot="1" x14ac:dyDescent="0.25">
      <c r="B68" s="128" t="s">
        <v>101</v>
      </c>
      <c r="C68" s="129"/>
      <c r="D68" s="65">
        <f>'FLUXO 2015 ANUAL'!D68</f>
        <v>0</v>
      </c>
      <c r="E68" s="67">
        <f>'FLUXO 2015 ANUAL'!E68</f>
        <v>-151064.18</v>
      </c>
      <c r="F68" s="66">
        <f>'FLUXO 2015 ANUAL'!F68</f>
        <v>-151064.18</v>
      </c>
      <c r="G68" s="87">
        <f>'FLUXO 2015 ANUAL'!G68</f>
        <v>0</v>
      </c>
      <c r="H68" s="87">
        <f>'FLUXO 2015 ANUAL'!H68</f>
        <v>0</v>
      </c>
      <c r="I68" s="87">
        <f>'FLUXO 2015 ANUAL'!I68</f>
        <v>0</v>
      </c>
      <c r="J68" s="87">
        <f>'FLUXO 2015 ANUAL'!J68</f>
        <v>0</v>
      </c>
      <c r="K68" s="87">
        <f>'FLUXO 2015 ANUAL'!K68</f>
        <v>0</v>
      </c>
      <c r="L68" s="87">
        <f>'FLUXO 2015 ANUAL'!L68</f>
        <v>0</v>
      </c>
      <c r="M68" s="87">
        <f>'FLUXO 2015 ANUAL'!M68</f>
        <v>0</v>
      </c>
      <c r="N68" s="87">
        <f>'FLUXO 2015 ANUAL'!N68</f>
        <v>0</v>
      </c>
      <c r="O68" s="87">
        <f>'FLUXO 2015 ANUAL'!O68</f>
        <v>0</v>
      </c>
      <c r="P68" s="87">
        <f>'FLUXO 2015 ANUAL'!P68</f>
        <v>0</v>
      </c>
      <c r="Q68" s="87">
        <f>'FLUXO 2015 ANUAL'!Q68</f>
        <v>0</v>
      </c>
      <c r="R68" s="87">
        <f>'FLUXO 2015 ANUAL'!R68</f>
        <v>-151064.18</v>
      </c>
      <c r="S68" s="105"/>
    </row>
    <row r="69" spans="2:19" s="10" customFormat="1" ht="35.25" customHeight="1" thickTop="1" thickBot="1" x14ac:dyDescent="0.25">
      <c r="B69" s="136" t="s">
        <v>51</v>
      </c>
      <c r="C69" s="137"/>
      <c r="D69" s="36">
        <f>'FLUXO 2015 ANUAL'!D69</f>
        <v>359733078.99000007</v>
      </c>
      <c r="E69" s="36">
        <f>'FLUXO 2015 ANUAL'!E69</f>
        <v>106931951.49000013</v>
      </c>
      <c r="F69" s="36">
        <f>'FLUXO 2015 ANUAL'!F69</f>
        <v>106931951.49000013</v>
      </c>
      <c r="G69" s="36">
        <f>'FLUXO 2015 ANUAL'!G69</f>
        <v>378147868.32999998</v>
      </c>
      <c r="H69" s="36">
        <f>'FLUXO 2015 ANUAL'!H69</f>
        <v>379806896.64999998</v>
      </c>
      <c r="I69" s="36">
        <f>'FLUXO 2015 ANUAL'!I69</f>
        <v>380894580.10999995</v>
      </c>
      <c r="J69" s="36">
        <f>'FLUXO 2015 ANUAL'!J69</f>
        <v>384828922.35999995</v>
      </c>
      <c r="K69" s="36">
        <f>'FLUXO 2015 ANUAL'!K69</f>
        <v>387354434.69999999</v>
      </c>
      <c r="L69" s="36">
        <f>'FLUXO 2015 ANUAL'!L69</f>
        <v>389142790.45999998</v>
      </c>
      <c r="M69" s="36">
        <f>'FLUXO 2015 ANUAL'!M69</f>
        <v>358432723.24000001</v>
      </c>
      <c r="N69" s="36">
        <f>'FLUXO 2015 ANUAL'!N69</f>
        <v>359733078.99000001</v>
      </c>
      <c r="O69" s="36">
        <f>'FLUXO 2015 ANUAL'!O69</f>
        <v>369842073.67000002</v>
      </c>
      <c r="P69" s="36">
        <f>'FLUXO 2015 ANUAL'!P69</f>
        <v>383168725.37</v>
      </c>
      <c r="Q69" s="36">
        <f>'FLUXO 2015 ANUAL'!Q69</f>
        <v>390440258.64000005</v>
      </c>
      <c r="R69" s="36">
        <f>'FLUXO 2015 ANUAL'!R69</f>
        <v>106931951.49000001</v>
      </c>
    </row>
    <row r="70" spans="2:19" ht="15.75" thickTop="1" x14ac:dyDescent="0.2"/>
    <row r="71" spans="2:19" x14ac:dyDescent="0.2">
      <c r="R71" s="55"/>
    </row>
    <row r="72" spans="2:19" x14ac:dyDescent="0.2">
      <c r="P72" s="104"/>
      <c r="R72" s="55"/>
    </row>
    <row r="73" spans="2:19" x14ac:dyDescent="0.2">
      <c r="F73" s="55"/>
      <c r="R73" s="55"/>
    </row>
    <row r="81" spans="4:15" x14ac:dyDescent="0.2">
      <c r="D81" s="58"/>
      <c r="E81" s="58"/>
      <c r="F81" s="58"/>
      <c r="G81" s="63"/>
    </row>
    <row r="82" spans="4:15" x14ac:dyDescent="0.2">
      <c r="D82" s="58"/>
      <c r="E82" s="58"/>
      <c r="F82" s="56"/>
      <c r="G82" s="63"/>
    </row>
    <row r="83" spans="4:15" x14ac:dyDescent="0.2">
      <c r="D83" s="59"/>
      <c r="E83" s="60"/>
      <c r="F83" s="58"/>
      <c r="G83" s="63"/>
    </row>
    <row r="84" spans="4:15" x14ac:dyDescent="0.2">
      <c r="D84" s="59"/>
      <c r="E84" s="60"/>
      <c r="F84" s="58"/>
      <c r="G84" s="63"/>
    </row>
    <row r="85" spans="4:15" x14ac:dyDescent="0.2">
      <c r="D85" s="59"/>
      <c r="E85" s="60"/>
      <c r="F85" s="3"/>
      <c r="G85" s="63"/>
    </row>
    <row r="86" spans="4:15" x14ac:dyDescent="0.2">
      <c r="D86" s="59"/>
      <c r="E86" s="60"/>
      <c r="F86" s="58"/>
      <c r="G86" s="63"/>
    </row>
    <row r="87" spans="4:15" x14ac:dyDescent="0.2">
      <c r="D87" s="59"/>
      <c r="E87" s="61"/>
      <c r="F87" s="58"/>
      <c r="G87" s="63"/>
    </row>
    <row r="88" spans="4:15" ht="18" x14ac:dyDescent="0.2">
      <c r="D88" s="59"/>
      <c r="E88" s="58"/>
      <c r="F88" s="58"/>
      <c r="G88" s="63"/>
      <c r="O88" s="103"/>
    </row>
    <row r="89" spans="4:15" ht="18" x14ac:dyDescent="0.2">
      <c r="D89" s="62"/>
      <c r="E89" s="58"/>
      <c r="F89" s="58"/>
      <c r="G89" s="63"/>
      <c r="O89" s="103"/>
    </row>
    <row r="90" spans="4:15" ht="18" x14ac:dyDescent="0.2">
      <c r="D90" s="59"/>
      <c r="E90" s="60"/>
      <c r="F90" s="58"/>
      <c r="G90" s="63"/>
      <c r="O90" s="103"/>
    </row>
    <row r="91" spans="4:15" ht="18" x14ac:dyDescent="0.2">
      <c r="D91" s="59"/>
      <c r="E91" s="60"/>
      <c r="F91" s="58"/>
      <c r="G91" s="63"/>
      <c r="O91" s="103"/>
    </row>
    <row r="92" spans="4:15" ht="18" x14ac:dyDescent="0.2">
      <c r="D92" s="59"/>
      <c r="E92" s="60"/>
      <c r="F92" s="58"/>
      <c r="G92" s="63"/>
      <c r="O92" s="103"/>
    </row>
    <row r="93" spans="4:15" ht="18" x14ac:dyDescent="0.2">
      <c r="D93" s="59"/>
      <c r="E93" s="60"/>
      <c r="F93" s="58"/>
      <c r="G93" s="63"/>
      <c r="O93" s="103"/>
    </row>
    <row r="94" spans="4:15" x14ac:dyDescent="0.2">
      <c r="D94" s="59"/>
      <c r="E94" s="61"/>
      <c r="F94" s="58"/>
      <c r="G94" s="63"/>
      <c r="O94" s="102"/>
    </row>
    <row r="95" spans="4:15" x14ac:dyDescent="0.2">
      <c r="D95" s="58"/>
      <c r="E95" s="58"/>
      <c r="F95" s="58"/>
      <c r="G95" s="63"/>
    </row>
    <row r="96" spans="4:15" x14ac:dyDescent="0.2">
      <c r="D96" s="59"/>
      <c r="E96" s="58"/>
      <c r="F96" s="58"/>
      <c r="G96" s="63"/>
    </row>
  </sheetData>
  <sheetProtection formatCells="0" formatColumns="0" formatRows="0" insertColumns="0" insertRows="0" insertHyperlinks="0" deleteColumns="0" deleteRows="0" sort="0" autoFilter="0" pivotTables="0"/>
  <dataConsolidate/>
  <mergeCells count="22">
    <mergeCell ref="B10:C10"/>
    <mergeCell ref="B11:C11"/>
    <mergeCell ref="B13:C13"/>
    <mergeCell ref="B16:B19"/>
    <mergeCell ref="B28:B29"/>
    <mergeCell ref="B30:B35"/>
    <mergeCell ref="B51:C51"/>
    <mergeCell ref="B53:C53"/>
    <mergeCell ref="B54:C54"/>
    <mergeCell ref="B55:C55"/>
    <mergeCell ref="B56:C56"/>
    <mergeCell ref="B57:C57"/>
    <mergeCell ref="B66:C66"/>
    <mergeCell ref="B67:C67"/>
    <mergeCell ref="B68:C68"/>
    <mergeCell ref="B69:C69"/>
    <mergeCell ref="B58:C58"/>
    <mergeCell ref="B59:C59"/>
    <mergeCell ref="B62:C62"/>
    <mergeCell ref="B63:C63"/>
    <mergeCell ref="B64:C64"/>
    <mergeCell ref="B65:C65"/>
  </mergeCells>
  <printOptions horizontalCentered="1"/>
  <pageMargins left="0" right="0" top="0" bottom="0" header="0" footer="0"/>
  <pageSetup paperSize="9" scale="43" orientation="landscape" r:id="rId1"/>
  <headerFooter alignWithMargins="0">
    <oddFooter>&amp;L&amp;Z&amp;F\&amp;F\&amp;A&amp;R
&amp;P de &amp;N.</oddFooter>
  </headerFooter>
  <rowBreaks count="1" manualBreakCount="1">
    <brk id="51" min="1" max="1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6">
    <tabColor rgb="FF00B050"/>
    <outlinePr summaryBelow="0"/>
  </sheetPr>
  <dimension ref="B1:I108"/>
  <sheetViews>
    <sheetView showGridLines="0" zoomScale="75" zoomScaleNormal="75" workbookViewId="0"/>
  </sheetViews>
  <sheetFormatPr defaultColWidth="21.42578125" defaultRowHeight="20.25" x14ac:dyDescent="0.2"/>
  <cols>
    <col min="1" max="1" width="4.85546875" style="49" customWidth="1"/>
    <col min="2" max="2" width="172.28515625" style="78" customWidth="1"/>
    <col min="3" max="3" width="57.7109375" style="49" hidden="1" customWidth="1"/>
    <col min="4" max="4" width="26.85546875" style="49" hidden="1" customWidth="1"/>
    <col min="5" max="5" width="24.42578125" style="70" hidden="1" customWidth="1"/>
    <col min="6" max="6" width="24.140625" style="49" customWidth="1"/>
    <col min="7" max="7" width="26.28515625" style="49" customWidth="1"/>
    <col min="8" max="8" width="25.140625" style="49" customWidth="1"/>
    <col min="9" max="9" width="24.28515625" style="49" customWidth="1"/>
    <col min="10" max="10" width="25" style="49" customWidth="1"/>
    <col min="11" max="11" width="26.42578125" style="49" customWidth="1"/>
    <col min="12" max="12" width="25.5703125" style="49" customWidth="1"/>
    <col min="13" max="13" width="25" style="49" customWidth="1"/>
    <col min="14" max="14" width="24.7109375" style="49" customWidth="1"/>
    <col min="15" max="15" width="25.42578125" style="49" customWidth="1"/>
    <col min="16" max="16" width="25.28515625" style="49" customWidth="1"/>
    <col min="17" max="16384" width="21.42578125" style="49"/>
  </cols>
  <sheetData>
    <row r="1" spans="2:9" ht="21" thickBot="1" x14ac:dyDescent="0.25">
      <c r="B1" s="73"/>
      <c r="G1" s="71"/>
    </row>
    <row r="2" spans="2:9" x14ac:dyDescent="0.3">
      <c r="B2" s="74"/>
      <c r="C2" s="72"/>
      <c r="G2" s="71"/>
    </row>
    <row r="3" spans="2:9" x14ac:dyDescent="0.2">
      <c r="B3" s="75"/>
      <c r="C3" s="72"/>
      <c r="D3" s="72"/>
      <c r="E3" s="72"/>
      <c r="F3" s="72"/>
      <c r="G3" s="72"/>
      <c r="H3" s="72"/>
      <c r="I3" s="72"/>
    </row>
    <row r="4" spans="2:9" x14ac:dyDescent="0.3">
      <c r="B4" s="76" t="s">
        <v>147</v>
      </c>
      <c r="C4" s="72"/>
      <c r="D4" s="72"/>
      <c r="E4" s="72"/>
      <c r="F4" s="72"/>
      <c r="G4" s="72"/>
      <c r="H4" s="72"/>
      <c r="I4" s="72"/>
    </row>
    <row r="5" spans="2:9" x14ac:dyDescent="0.3">
      <c r="B5" s="76" t="s">
        <v>148</v>
      </c>
      <c r="C5" s="72"/>
      <c r="D5" s="72"/>
      <c r="E5" s="72"/>
      <c r="F5" s="72"/>
      <c r="G5" s="72"/>
      <c r="H5" s="72"/>
      <c r="I5" s="72"/>
    </row>
    <row r="6" spans="2:9" s="50" customFormat="1" x14ac:dyDescent="0.3">
      <c r="B6" s="76" t="s">
        <v>149</v>
      </c>
      <c r="C6" s="72"/>
      <c r="D6" s="72"/>
      <c r="E6" s="72"/>
      <c r="F6" s="72"/>
      <c r="G6" s="72"/>
      <c r="H6" s="72"/>
      <c r="I6" s="72"/>
    </row>
    <row r="7" spans="2:9" s="50" customFormat="1" ht="21" thickBot="1" x14ac:dyDescent="0.25">
      <c r="B7" s="77" t="s">
        <v>176</v>
      </c>
      <c r="C7" s="72"/>
      <c r="D7" s="72"/>
      <c r="E7" s="72"/>
      <c r="F7" s="72"/>
      <c r="G7" s="72"/>
      <c r="H7" s="72"/>
      <c r="I7" s="72"/>
    </row>
    <row r="8" spans="2:9" s="50" customFormat="1" x14ac:dyDescent="0.2">
      <c r="B8" s="84"/>
      <c r="C8" s="72"/>
      <c r="D8" s="72"/>
      <c r="E8" s="72"/>
      <c r="F8" s="72"/>
      <c r="G8" s="72"/>
      <c r="H8" s="72"/>
      <c r="I8" s="72"/>
    </row>
    <row r="9" spans="2:9" s="50" customFormat="1" x14ac:dyDescent="0.2">
      <c r="B9" s="78"/>
      <c r="C9" s="72"/>
      <c r="D9" s="72"/>
      <c r="E9" s="72"/>
      <c r="F9" s="72"/>
      <c r="G9" s="72"/>
      <c r="H9" s="72"/>
      <c r="I9" s="72"/>
    </row>
    <row r="10" spans="2:9" ht="23.25" x14ac:dyDescent="0.35">
      <c r="B10" s="80" t="s">
        <v>94</v>
      </c>
    </row>
    <row r="11" spans="2:9" ht="21" x14ac:dyDescent="0.35">
      <c r="B11" s="79" t="s">
        <v>130</v>
      </c>
    </row>
    <row r="12" spans="2:9" ht="26.25" x14ac:dyDescent="0.4">
      <c r="B12" s="83" t="s">
        <v>95</v>
      </c>
    </row>
    <row r="13" spans="2:9" ht="21" x14ac:dyDescent="0.35">
      <c r="B13" s="79"/>
    </row>
    <row r="14" spans="2:9" ht="21" x14ac:dyDescent="0.35">
      <c r="B14" s="95" t="s">
        <v>68</v>
      </c>
    </row>
    <row r="15" spans="2:9" ht="85.5" customHeight="1" x14ac:dyDescent="0.35">
      <c r="B15" s="96" t="s">
        <v>155</v>
      </c>
    </row>
    <row r="16" spans="2:9" ht="21" x14ac:dyDescent="0.35">
      <c r="B16" s="95" t="s">
        <v>69</v>
      </c>
    </row>
    <row r="17" spans="2:2" ht="42" x14ac:dyDescent="0.35">
      <c r="B17" s="96" t="s">
        <v>156</v>
      </c>
    </row>
    <row r="18" spans="2:2" ht="21" x14ac:dyDescent="0.35">
      <c r="B18" s="95" t="s">
        <v>71</v>
      </c>
    </row>
    <row r="19" spans="2:2" ht="42" x14ac:dyDescent="0.35">
      <c r="B19" s="96" t="s">
        <v>157</v>
      </c>
    </row>
    <row r="20" spans="2:2" ht="42" x14ac:dyDescent="0.35">
      <c r="B20" s="96" t="s">
        <v>138</v>
      </c>
    </row>
    <row r="21" spans="2:2" ht="21" x14ac:dyDescent="0.35">
      <c r="B21" s="96" t="s">
        <v>128</v>
      </c>
    </row>
    <row r="22" spans="2:2" ht="21" x14ac:dyDescent="0.35">
      <c r="B22" s="96" t="s">
        <v>129</v>
      </c>
    </row>
    <row r="23" spans="2:2" ht="63" x14ac:dyDescent="0.35">
      <c r="B23" s="96" t="s">
        <v>109</v>
      </c>
    </row>
    <row r="24" spans="2:2" ht="61.5" customHeight="1" x14ac:dyDescent="0.35">
      <c r="B24" s="97" t="s">
        <v>158</v>
      </c>
    </row>
    <row r="25" spans="2:2" ht="21" x14ac:dyDescent="0.35">
      <c r="B25" s="95" t="s">
        <v>70</v>
      </c>
    </row>
    <row r="26" spans="2:2" ht="63" x14ac:dyDescent="0.35">
      <c r="B26" s="96" t="s">
        <v>159</v>
      </c>
    </row>
    <row r="27" spans="2:2" ht="21" x14ac:dyDescent="0.35">
      <c r="B27" s="95" t="s">
        <v>72</v>
      </c>
    </row>
    <row r="28" spans="2:2" ht="63" x14ac:dyDescent="0.35">
      <c r="B28" s="96" t="s">
        <v>160</v>
      </c>
    </row>
    <row r="29" spans="2:2" ht="21" x14ac:dyDescent="0.35">
      <c r="B29" s="96"/>
    </row>
    <row r="30" spans="2:2" ht="21" x14ac:dyDescent="0.35">
      <c r="B30" s="95" t="s">
        <v>73</v>
      </c>
    </row>
    <row r="31" spans="2:2" ht="21" x14ac:dyDescent="0.35">
      <c r="B31" s="96" t="s">
        <v>130</v>
      </c>
    </row>
    <row r="32" spans="2:2" ht="21" x14ac:dyDescent="0.35">
      <c r="B32" s="95" t="s">
        <v>74</v>
      </c>
    </row>
    <row r="33" spans="2:2" ht="21" x14ac:dyDescent="0.35">
      <c r="B33" s="96" t="s">
        <v>130</v>
      </c>
    </row>
    <row r="34" spans="2:2" ht="21" x14ac:dyDescent="0.35">
      <c r="B34" s="95" t="s">
        <v>75</v>
      </c>
    </row>
    <row r="35" spans="2:2" ht="21" x14ac:dyDescent="0.35">
      <c r="B35" s="96" t="s">
        <v>130</v>
      </c>
    </row>
    <row r="36" spans="2:2" ht="42" x14ac:dyDescent="0.35">
      <c r="B36" s="97" t="s">
        <v>119</v>
      </c>
    </row>
    <row r="37" spans="2:2" ht="231" x14ac:dyDescent="0.35">
      <c r="B37" s="96" t="s">
        <v>161</v>
      </c>
    </row>
    <row r="38" spans="2:2" ht="21" x14ac:dyDescent="0.35">
      <c r="B38" s="95" t="s">
        <v>76</v>
      </c>
    </row>
    <row r="39" spans="2:2" ht="105" x14ac:dyDescent="0.35">
      <c r="B39" s="79" t="s">
        <v>177</v>
      </c>
    </row>
    <row r="40" spans="2:2" ht="21" x14ac:dyDescent="0.35">
      <c r="B40" s="95" t="s">
        <v>77</v>
      </c>
    </row>
    <row r="41" spans="2:2" ht="84" x14ac:dyDescent="0.35">
      <c r="B41" s="79" t="s">
        <v>162</v>
      </c>
    </row>
    <row r="42" spans="2:2" ht="21" x14ac:dyDescent="0.35">
      <c r="B42" s="95" t="s">
        <v>114</v>
      </c>
    </row>
    <row r="43" spans="2:2" ht="84" x14ac:dyDescent="0.35">
      <c r="B43" s="79" t="s">
        <v>144</v>
      </c>
    </row>
    <row r="44" spans="2:2" ht="21" x14ac:dyDescent="0.35">
      <c r="B44" s="95" t="s">
        <v>115</v>
      </c>
    </row>
    <row r="45" spans="2:2" ht="84" x14ac:dyDescent="0.35">
      <c r="B45" s="79" t="s">
        <v>145</v>
      </c>
    </row>
    <row r="46" spans="2:2" ht="21" x14ac:dyDescent="0.35">
      <c r="B46" s="95" t="s">
        <v>116</v>
      </c>
    </row>
    <row r="47" spans="2:2" ht="82.5" customHeight="1" x14ac:dyDescent="0.35">
      <c r="B47" s="79" t="s">
        <v>163</v>
      </c>
    </row>
    <row r="48" spans="2:2" ht="21" x14ac:dyDescent="0.35">
      <c r="B48" s="79"/>
    </row>
    <row r="49" spans="2:5" ht="21" x14ac:dyDescent="0.35">
      <c r="B49" s="95" t="s">
        <v>117</v>
      </c>
    </row>
    <row r="50" spans="2:5" s="50" customFormat="1" ht="63" x14ac:dyDescent="0.35">
      <c r="B50" s="79" t="s">
        <v>164</v>
      </c>
      <c r="E50" s="82"/>
    </row>
    <row r="51" spans="2:5" ht="21" x14ac:dyDescent="0.35">
      <c r="B51" s="79"/>
    </row>
    <row r="52" spans="2:5" ht="21" x14ac:dyDescent="0.35">
      <c r="B52" s="95" t="s">
        <v>118</v>
      </c>
    </row>
    <row r="53" spans="2:5" ht="21" x14ac:dyDescent="0.35">
      <c r="B53" s="79" t="s">
        <v>165</v>
      </c>
    </row>
    <row r="54" spans="2:5" ht="21" x14ac:dyDescent="0.35">
      <c r="B54" s="95" t="s">
        <v>120</v>
      </c>
    </row>
    <row r="55" spans="2:5" ht="84" x14ac:dyDescent="0.35">
      <c r="B55" s="79" t="s">
        <v>166</v>
      </c>
    </row>
    <row r="56" spans="2:5" ht="21" x14ac:dyDescent="0.35">
      <c r="B56" s="95" t="s">
        <v>121</v>
      </c>
    </row>
    <row r="57" spans="2:5" ht="21" x14ac:dyDescent="0.35">
      <c r="B57" s="98" t="s">
        <v>131</v>
      </c>
    </row>
    <row r="58" spans="2:5" ht="21" x14ac:dyDescent="0.35">
      <c r="B58" s="95" t="s">
        <v>122</v>
      </c>
    </row>
    <row r="59" spans="2:5" ht="21" x14ac:dyDescent="0.35">
      <c r="B59" s="98" t="s">
        <v>131</v>
      </c>
    </row>
    <row r="60" spans="2:5" ht="21" x14ac:dyDescent="0.35">
      <c r="B60" s="95" t="s">
        <v>123</v>
      </c>
    </row>
    <row r="61" spans="2:5" ht="21" x14ac:dyDescent="0.35">
      <c r="B61" s="98" t="s">
        <v>131</v>
      </c>
    </row>
    <row r="62" spans="2:5" ht="21" x14ac:dyDescent="0.35">
      <c r="B62" s="95" t="s">
        <v>124</v>
      </c>
    </row>
    <row r="63" spans="2:5" ht="21" x14ac:dyDescent="0.35">
      <c r="B63" s="98" t="s">
        <v>131</v>
      </c>
    </row>
    <row r="64" spans="2:5" ht="21" x14ac:dyDescent="0.35">
      <c r="B64" s="95" t="s">
        <v>125</v>
      </c>
    </row>
    <row r="65" spans="2:2" ht="147" x14ac:dyDescent="0.35">
      <c r="B65" s="96" t="s">
        <v>167</v>
      </c>
    </row>
    <row r="66" spans="2:2" ht="21" x14ac:dyDescent="0.35">
      <c r="B66" s="95" t="s">
        <v>126</v>
      </c>
    </row>
    <row r="67" spans="2:2" ht="21" x14ac:dyDescent="0.35">
      <c r="B67" s="98" t="s">
        <v>131</v>
      </c>
    </row>
    <row r="68" spans="2:2" ht="21" x14ac:dyDescent="0.35">
      <c r="B68" s="95" t="s">
        <v>127</v>
      </c>
    </row>
    <row r="69" spans="2:2" ht="84" x14ac:dyDescent="0.35">
      <c r="B69" s="96" t="s">
        <v>139</v>
      </c>
    </row>
    <row r="70" spans="2:2" ht="126" x14ac:dyDescent="0.35">
      <c r="B70" s="97" t="s">
        <v>168</v>
      </c>
    </row>
    <row r="71" spans="2:2" ht="21" x14ac:dyDescent="0.35">
      <c r="B71" s="95" t="s">
        <v>78</v>
      </c>
    </row>
    <row r="72" spans="2:2" ht="21" x14ac:dyDescent="0.35">
      <c r="B72" s="100" t="s">
        <v>169</v>
      </c>
    </row>
    <row r="73" spans="2:2" ht="21" x14ac:dyDescent="0.35">
      <c r="B73" s="95" t="s">
        <v>143</v>
      </c>
    </row>
    <row r="74" spans="2:2" ht="21" x14ac:dyDescent="0.35">
      <c r="B74" s="79" t="s">
        <v>170</v>
      </c>
    </row>
    <row r="75" spans="2:2" ht="21" x14ac:dyDescent="0.35">
      <c r="B75" s="95" t="s">
        <v>132</v>
      </c>
    </row>
    <row r="76" spans="2:2" ht="21" x14ac:dyDescent="0.35">
      <c r="B76" s="96" t="s">
        <v>171</v>
      </c>
    </row>
    <row r="77" spans="2:2" ht="21" x14ac:dyDescent="0.35">
      <c r="B77" s="95" t="s">
        <v>133</v>
      </c>
    </row>
    <row r="78" spans="2:2" ht="21" x14ac:dyDescent="0.35">
      <c r="B78" s="98" t="s">
        <v>130</v>
      </c>
    </row>
    <row r="79" spans="2:2" ht="21" x14ac:dyDescent="0.35">
      <c r="B79" s="95" t="s">
        <v>136</v>
      </c>
    </row>
    <row r="80" spans="2:2" ht="116.25" customHeight="1" x14ac:dyDescent="0.35">
      <c r="B80" s="96" t="s">
        <v>146</v>
      </c>
    </row>
    <row r="81" spans="2:2" ht="21" x14ac:dyDescent="0.35">
      <c r="B81" s="95" t="s">
        <v>137</v>
      </c>
    </row>
    <row r="82" spans="2:2" ht="42" x14ac:dyDescent="0.35">
      <c r="B82" s="98" t="s">
        <v>172</v>
      </c>
    </row>
    <row r="83" spans="2:2" ht="21" x14ac:dyDescent="0.35">
      <c r="B83" s="95" t="s">
        <v>79</v>
      </c>
    </row>
    <row r="84" spans="2:2" ht="179.25" customHeight="1" x14ac:dyDescent="0.2">
      <c r="B84" s="109" t="s">
        <v>182</v>
      </c>
    </row>
    <row r="85" spans="2:2" ht="21" x14ac:dyDescent="0.35">
      <c r="B85" s="95" t="s">
        <v>134</v>
      </c>
    </row>
    <row r="86" spans="2:2" ht="21" x14ac:dyDescent="0.35">
      <c r="B86" s="96" t="s">
        <v>173</v>
      </c>
    </row>
    <row r="87" spans="2:2" ht="21" x14ac:dyDescent="0.35">
      <c r="B87" s="95" t="s">
        <v>135</v>
      </c>
    </row>
    <row r="88" spans="2:2" ht="21" x14ac:dyDescent="0.35">
      <c r="B88" s="96" t="s">
        <v>174</v>
      </c>
    </row>
    <row r="89" spans="2:2" ht="21" x14ac:dyDescent="0.35">
      <c r="B89" s="95" t="s">
        <v>140</v>
      </c>
    </row>
    <row r="90" spans="2:2" ht="36.75" customHeight="1" x14ac:dyDescent="0.35">
      <c r="B90" s="96" t="s">
        <v>175</v>
      </c>
    </row>
    <row r="91" spans="2:2" ht="21" x14ac:dyDescent="0.35">
      <c r="B91" s="96"/>
    </row>
    <row r="92" spans="2:2" ht="21" x14ac:dyDescent="0.35">
      <c r="B92" s="96"/>
    </row>
    <row r="93" spans="2:2" ht="78" customHeight="1" x14ac:dyDescent="0.35">
      <c r="B93" s="98"/>
    </row>
    <row r="106" spans="3:4" x14ac:dyDescent="0.2">
      <c r="C106" s="108" t="s">
        <v>181</v>
      </c>
      <c r="D106" s="110">
        <v>106931951.48999999</v>
      </c>
    </row>
    <row r="107" spans="3:4" x14ac:dyDescent="0.2">
      <c r="C107" s="108" t="s">
        <v>179</v>
      </c>
      <c r="D107" s="110">
        <v>291062741.38999999</v>
      </c>
    </row>
    <row r="108" spans="3:4" x14ac:dyDescent="0.2">
      <c r="C108" s="108" t="s">
        <v>180</v>
      </c>
      <c r="D108" s="111">
        <f>D106+D107</f>
        <v>397994692.88</v>
      </c>
    </row>
  </sheetData>
  <dataConsolidate/>
  <pageMargins left="0.78740157480314965" right="0" top="0.39370078740157483" bottom="0.98425196850393704" header="0.51181102362204722" footer="0.59055118110236227"/>
  <pageSetup paperSize="9" scale="55" orientation="portrait" r:id="rId1"/>
  <headerFooter alignWithMargins="0">
    <oddFooter>&amp;L&amp;Z&amp;F\&amp;F\&amp;A&amp;R
&amp;P de &amp;N.</oddFooter>
  </headerFooter>
  <rowBreaks count="2" manualBreakCount="2">
    <brk id="37" min="1" max="1" man="1"/>
    <brk id="65" min="1" max="1" man="1"/>
  </rowBreaks>
  <colBreaks count="1" manualBreakCount="1">
    <brk id="12" max="64"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4407BA364D1654387CA771A5258DC59" ma:contentTypeVersion="13" ma:contentTypeDescription="Create a new document." ma:contentTypeScope="" ma:versionID="96dd51078451f1f779ea0a5f50c8349a">
  <xsd:schema xmlns:xsd="http://www.w3.org/2001/XMLSchema" xmlns:xs="http://www.w3.org/2001/XMLSchema" xmlns:p="http://schemas.microsoft.com/office/2006/metadata/properties" xmlns:ns2="9f987d89-c3c0-470e-aaa6-c2253135bda5" xmlns:ns3="a855df5c-95c7-4b88-a17d-2f8ebe25ba97" targetNamespace="http://schemas.microsoft.com/office/2006/metadata/properties" ma:root="true" ma:fieldsID="e87f4f4993370356b6b0f3c181dc6540" ns2:_="" ns3:_="">
    <xsd:import namespace="9f987d89-c3c0-470e-aaa6-c2253135bda5"/>
    <xsd:import namespace="a855df5c-95c7-4b88-a17d-2f8ebe25ba9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987d89-c3c0-470e-aaa6-c2253135bd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5835187a-a473-41ac-a4ea-1c7fdfdb5695"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855df5c-95c7-4b88-a17d-2f8ebe25ba97"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d443d18-2079-4633-af81-f4c2c01c1e08}" ma:internalName="TaxCatchAll" ma:showField="CatchAllData" ma:web="a855df5c-95c7-4b88-a17d-2f8ebe25ba97">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855df5c-95c7-4b88-a17d-2f8ebe25ba97" xsi:nil="true"/>
    <lcf76f155ced4ddcb4097134ff3c332f xmlns="9f987d89-c3c0-470e-aaa6-c2253135bda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97CA5B9-8978-4661-8317-9E6013C075C5}"/>
</file>

<file path=customXml/itemProps2.xml><?xml version="1.0" encoding="utf-8"?>
<ds:datastoreItem xmlns:ds="http://schemas.openxmlformats.org/officeDocument/2006/customXml" ds:itemID="{B77F9F07-BC7C-4B4F-87D6-EA998142A9A3}"/>
</file>

<file path=customXml/itemProps3.xml><?xml version="1.0" encoding="utf-8"?>
<ds:datastoreItem xmlns:ds="http://schemas.openxmlformats.org/officeDocument/2006/customXml" ds:itemID="{684D5180-1FB5-4FF3-8D34-4160865AE29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FLUXO 2015 ANUAL</vt:lpstr>
      <vt:lpstr>FLUXO 2015 MENSAL</vt:lpstr>
      <vt:lpstr>Nota Explicativa 2015</vt:lpstr>
    </vt:vector>
  </TitlesOfParts>
  <Company>Centrais Elétricas Brasileiras 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Manoel Chagas</dc:creator>
  <cp:lastModifiedBy>Jose Carlos de Araujo</cp:lastModifiedBy>
  <cp:lastPrinted>2017-09-11T21:43:17Z</cp:lastPrinted>
  <dcterms:created xsi:type="dcterms:W3CDTF">2004-10-29T19:07:02Z</dcterms:created>
  <dcterms:modified xsi:type="dcterms:W3CDTF">2017-09-11T22:06:50Z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0x010100B4407BA364D1654387CA771A5258DC59</vt:lpwstr>
  </property>
</Properties>
</file>