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hidePivotFieldList="1" defaultThemeVersion="124226"/>
  <bookViews>
    <workbookView xWindow="-15" yWindow="-15" windowWidth="7590" windowHeight="8055" tabRatio="180"/>
  </bookViews>
  <sheets>
    <sheet name="FLUXO PROINFA 2014" sheetId="77" r:id="rId1"/>
  </sheets>
  <externalReferences>
    <externalReference r:id="rId2"/>
  </externalReferences>
  <definedNames>
    <definedName name="_abr1">#REF!</definedName>
    <definedName name="_abr10">#REF!</definedName>
    <definedName name="_abr11">[1]dao!#REF!</definedName>
    <definedName name="_abr12">#REF!</definedName>
    <definedName name="_abr2">#REF!</definedName>
    <definedName name="_abr3">[1]decm!#REF!</definedName>
    <definedName name="_abr4">[1]dea!#REF!</definedName>
    <definedName name="_abr44">#REF!</definedName>
    <definedName name="_abr5">[1]deg!#REF!</definedName>
    <definedName name="_abr6">[1]det!#REF!</definedName>
    <definedName name="_abr7">#REF!</definedName>
    <definedName name="_abr8">#REF!</definedName>
    <definedName name="_abr9">[1]dfi!#REF!</definedName>
    <definedName name="_fev1">#REF!</definedName>
    <definedName name="_fev10">#REF!</definedName>
    <definedName name="_fev11">[1]dao!#REF!</definedName>
    <definedName name="_fev12">#REF!</definedName>
    <definedName name="_fev2">#REF!</definedName>
    <definedName name="_fev3">[1]decm!#REF!</definedName>
    <definedName name="_fev4">[1]dea!#REF!</definedName>
    <definedName name="_fev5">[1]deg!#REF!</definedName>
    <definedName name="_fev6">[1]det!#REF!</definedName>
    <definedName name="_fev7">#REF!</definedName>
    <definedName name="_fev8">#REF!</definedName>
    <definedName name="_fev9">[1]dfi!#REF!</definedName>
    <definedName name="_xlnm._FilterDatabase" localSheetId="0" hidden="1">'FLUXO PROINFA 2014'!#REF!</definedName>
    <definedName name="_jan1">#REF!</definedName>
    <definedName name="_jan10">#REF!</definedName>
    <definedName name="_jan11">[1]dao!#REF!</definedName>
    <definedName name="_jan12">#REF!</definedName>
    <definedName name="_jan2">#REF!</definedName>
    <definedName name="_jan3">[1]decm!#REF!</definedName>
    <definedName name="_jan4">[1]dea!#REF!</definedName>
    <definedName name="_jan5">[1]deg!#REF!</definedName>
    <definedName name="_jan6">[1]det!#REF!</definedName>
    <definedName name="_jan7">#REF!</definedName>
    <definedName name="_jan8">#REF!</definedName>
    <definedName name="_jan9">[1]dfi!#REF!</definedName>
    <definedName name="_jun1">#REF!</definedName>
    <definedName name="_jun10">#REF!</definedName>
    <definedName name="_jun11">[1]dao!#REF!</definedName>
    <definedName name="_jun12">#REF!</definedName>
    <definedName name="_jun2">#REF!</definedName>
    <definedName name="_jun3">[1]decm!#REF!</definedName>
    <definedName name="_jun4">[1]dea!#REF!</definedName>
    <definedName name="_jun5">[1]deg!#REF!</definedName>
    <definedName name="_jun6">[1]det!#REF!</definedName>
    <definedName name="_jun7">#REF!</definedName>
    <definedName name="_jun8">#REF!</definedName>
    <definedName name="_jun9">[1]dfi!#REF!</definedName>
    <definedName name="_mai1">#REF!</definedName>
    <definedName name="_mai10">#REF!</definedName>
    <definedName name="_mai11">[1]dao!#REF!</definedName>
    <definedName name="_mai12">#REF!</definedName>
    <definedName name="_mai2">#REF!</definedName>
    <definedName name="_mai3">[1]decm!#REF!</definedName>
    <definedName name="_mai4">[1]dea!#REF!</definedName>
    <definedName name="_mai5">[1]deg!#REF!</definedName>
    <definedName name="_mai6">[1]det!#REF!</definedName>
    <definedName name="_mai7">#REF!</definedName>
    <definedName name="_mai8">#REF!</definedName>
    <definedName name="_mai9">[1]dfi!#REF!</definedName>
    <definedName name="_mar1">#REF!</definedName>
    <definedName name="_mar10">#REF!</definedName>
    <definedName name="_mar11">[1]dao!#REF!</definedName>
    <definedName name="_mar12">#REF!</definedName>
    <definedName name="_mar2">#REF!</definedName>
    <definedName name="_mar3">[1]decm!#REF!</definedName>
    <definedName name="_mar33">#REF!</definedName>
    <definedName name="_mar4">[1]dea!#REF!</definedName>
    <definedName name="_mar5">[1]deg!#REF!</definedName>
    <definedName name="_mar6">[1]det!#REF!</definedName>
    <definedName name="_mar7">#REF!</definedName>
    <definedName name="_mar8">#REF!</definedName>
    <definedName name="_mar9">[1]dfi!#REF!</definedName>
    <definedName name="abr">#REF!</definedName>
    <definedName name="abrc">#REF!</definedName>
    <definedName name="abrc1">#REF!</definedName>
    <definedName name="abrc10">#REF!</definedName>
    <definedName name="abrc11">[1]dao!#REF!</definedName>
    <definedName name="abrc12">#REF!</definedName>
    <definedName name="abrc2">#REF!</definedName>
    <definedName name="abrc3">[1]decm!#REF!</definedName>
    <definedName name="abrc4">[1]dea!#REF!</definedName>
    <definedName name="abrc5">[1]deg!#REF!</definedName>
    <definedName name="abrc6">[1]det!#REF!</definedName>
    <definedName name="abrc7">#REF!</definedName>
    <definedName name="abrc8">#REF!</definedName>
    <definedName name="abrc9">[1]dfi!#REF!</definedName>
    <definedName name="abrv">#REF!</definedName>
    <definedName name="abrv2">#REF!</definedName>
    <definedName name="abrv3">#REF!</definedName>
    <definedName name="abrv4">#REF!</definedName>
    <definedName name="abrv5">#REF!</definedName>
    <definedName name="abrv6">#REF!</definedName>
    <definedName name="abrv7">#REF!</definedName>
    <definedName name="abrv8">#REF!</definedName>
    <definedName name="_xlnm.Print_Area" localSheetId="0">'FLUXO PROINFA 2014'!$B$52:$R$65</definedName>
    <definedName name="fev">#REF!</definedName>
    <definedName name="fevc">#REF!</definedName>
    <definedName name="fevc1">#REF!</definedName>
    <definedName name="fevc10">#REF!</definedName>
    <definedName name="fevc11">[1]dao!#REF!</definedName>
    <definedName name="fevc12">#REF!</definedName>
    <definedName name="fevc2">#REF!</definedName>
    <definedName name="fevc3">[1]decm!#REF!</definedName>
    <definedName name="fevc4">[1]dea!#REF!</definedName>
    <definedName name="fevc5">[1]deg!#REF!</definedName>
    <definedName name="fevc6">[1]det!#REF!</definedName>
    <definedName name="fevc7">#REF!</definedName>
    <definedName name="fevc8">#REF!</definedName>
    <definedName name="fevc9">[1]dfi!#REF!</definedName>
    <definedName name="fevv">#REF!</definedName>
    <definedName name="fevv2">#REF!</definedName>
    <definedName name="fevv3">#REF!</definedName>
    <definedName name="fevv4">#REF!</definedName>
    <definedName name="fevv5">#REF!</definedName>
    <definedName name="fevv6">#REF!</definedName>
    <definedName name="fevv7">#REF!</definedName>
    <definedName name="fevv8">#REF!</definedName>
    <definedName name="jan">#REF!</definedName>
    <definedName name="janc">#REF!</definedName>
    <definedName name="janc1">#REF!</definedName>
    <definedName name="janc10">#REF!</definedName>
    <definedName name="janc11">[1]dao!#REF!</definedName>
    <definedName name="janc12">#REF!</definedName>
    <definedName name="janc2">#REF!</definedName>
    <definedName name="janc3">[1]decm!#REF!</definedName>
    <definedName name="janc4">[1]dea!#REF!</definedName>
    <definedName name="janc5">[1]deg!#REF!</definedName>
    <definedName name="janc6">[1]det!#REF!</definedName>
    <definedName name="janc7">#REF!</definedName>
    <definedName name="janc8">#REF!</definedName>
    <definedName name="janc9">[1]dfi!#REF!</definedName>
    <definedName name="janv">#REF!</definedName>
    <definedName name="janv2">#REF!</definedName>
    <definedName name="janv3">#REF!</definedName>
    <definedName name="janv4">#REF!</definedName>
    <definedName name="janv5">#REF!</definedName>
    <definedName name="janv6">#REF!</definedName>
    <definedName name="janv7">#REF!</definedName>
    <definedName name="janv8">#REF!</definedName>
    <definedName name="jun">#REF!</definedName>
    <definedName name="junc">#REF!</definedName>
    <definedName name="junc1">#REF!</definedName>
    <definedName name="junc10">#REF!</definedName>
    <definedName name="junc11">[1]dao!#REF!</definedName>
    <definedName name="junc12">#REF!</definedName>
    <definedName name="junc2">#REF!</definedName>
    <definedName name="junc3">[1]decm!#REF!</definedName>
    <definedName name="junc4">[1]dea!#REF!</definedName>
    <definedName name="junc5">[1]deg!#REF!</definedName>
    <definedName name="junc6">[1]det!#REF!</definedName>
    <definedName name="junc7">#REF!</definedName>
    <definedName name="junc8">#REF!</definedName>
    <definedName name="junc9">[1]dfi!#REF!</definedName>
    <definedName name="mai">#REF!</definedName>
    <definedName name="maic">#REF!</definedName>
    <definedName name="maic1">#REF!</definedName>
    <definedName name="maic10">#REF!</definedName>
    <definedName name="maic11">[1]dao!#REF!</definedName>
    <definedName name="maic12">#REF!</definedName>
    <definedName name="maic2">#REF!</definedName>
    <definedName name="maic3">[1]decm!#REF!</definedName>
    <definedName name="maic4">[1]dea!#REF!</definedName>
    <definedName name="maic5">[1]deg!#REF!</definedName>
    <definedName name="maic6">[1]det!#REF!</definedName>
    <definedName name="maic7">#REF!</definedName>
    <definedName name="maic8">#REF!</definedName>
    <definedName name="maic9">[1]dfi!#REF!</definedName>
    <definedName name="maiv">#REF!</definedName>
    <definedName name="maiv2">#REF!</definedName>
    <definedName name="maiv3">#REF!</definedName>
    <definedName name="maiv4">#REF!</definedName>
    <definedName name="maiv5">#REF!</definedName>
    <definedName name="maiv6">#REF!</definedName>
    <definedName name="maiv7">#REF!</definedName>
    <definedName name="maiv8">#REF!</definedName>
    <definedName name="mar">#REF!</definedName>
    <definedName name="marc">#REF!</definedName>
    <definedName name="marc1">#REF!</definedName>
    <definedName name="marc10">#REF!</definedName>
    <definedName name="marc11">[1]dao!#REF!</definedName>
    <definedName name="marc12">#REF!</definedName>
    <definedName name="marc2">#REF!</definedName>
    <definedName name="marc3">[1]decm!#REF!</definedName>
    <definedName name="marc4">[1]dea!#REF!</definedName>
    <definedName name="marc5">[1]deg!#REF!</definedName>
    <definedName name="marc6">[1]det!#REF!</definedName>
    <definedName name="marc7">#REF!</definedName>
    <definedName name="marc8">#REF!</definedName>
    <definedName name="marc9">[1]dfi!#REF!</definedName>
    <definedName name="marv">#REF!</definedName>
    <definedName name="marv2">#REF!</definedName>
    <definedName name="marv3">#REF!</definedName>
    <definedName name="marv4">#REF!</definedName>
    <definedName name="marv5">#REF!</definedName>
    <definedName name="marv6">#REF!</definedName>
    <definedName name="marv7">#REF!</definedName>
    <definedName name="marv8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7167</definedName>
    <definedName name="RiskFixedSeed">50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TRUE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2</definedName>
    <definedName name="RiskTemplateSheetName">"myTemplate"</definedName>
    <definedName name="RiskUpdateDisplay">TRUE</definedName>
    <definedName name="RiskUseDifferentSeedForEachSim">FALSE</definedName>
    <definedName name="RiskUseFixedSeed">TRUE</definedName>
    <definedName name="RiskUseMultipleCPUs">FALSE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'FLUXO PROINFA 2014'!#REF!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  <definedName name="_xlnm.Print_Titles" localSheetId="0">'FLUXO PROINFA 2014'!$B:$C,'FLUXO PROINFA 2014'!$2:$9</definedName>
  </definedNames>
  <calcPr calcId="152511"/>
</workbook>
</file>

<file path=xl/calcChain.xml><?xml version="1.0" encoding="utf-8"?>
<calcChain xmlns="http://schemas.openxmlformats.org/spreadsheetml/2006/main">
  <c r="O38" i="77" l="1"/>
  <c r="E38" i="77" s="1"/>
  <c r="F38" i="77" s="1"/>
  <c r="N38" i="77"/>
  <c r="M38" i="77"/>
  <c r="R28" i="77"/>
  <c r="P26" i="77"/>
  <c r="M27" i="77"/>
  <c r="L27" i="77"/>
  <c r="K27" i="77"/>
  <c r="D27" i="77" s="1"/>
  <c r="F27" i="77" s="1"/>
  <c r="I26" i="77"/>
  <c r="R26" i="77"/>
  <c r="N55" i="77"/>
  <c r="Q27" i="77"/>
  <c r="Q26" i="77"/>
  <c r="P32" i="77"/>
  <c r="O26" i="77"/>
  <c r="E25" i="77"/>
  <c r="D25" i="77"/>
  <c r="F25" i="77" s="1"/>
  <c r="M20" i="77"/>
  <c r="E64" i="77"/>
  <c r="D64" i="77"/>
  <c r="F64" i="77" s="1"/>
  <c r="O27" i="77"/>
  <c r="E27" i="77" s="1"/>
  <c r="K32" i="77"/>
  <c r="K26" i="77"/>
  <c r="J26" i="77"/>
  <c r="D15" i="77"/>
  <c r="D17" i="77" s="1"/>
  <c r="N26" i="77"/>
  <c r="D55" i="77"/>
  <c r="F55" i="77" s="1"/>
  <c r="E28" i="77"/>
  <c r="H20" i="77"/>
  <c r="D22" i="77"/>
  <c r="E63" i="77"/>
  <c r="D63" i="77"/>
  <c r="E62" i="77"/>
  <c r="D62" i="77"/>
  <c r="D65" i="77"/>
  <c r="E61" i="77" s="1"/>
  <c r="E65" i="77" s="1"/>
  <c r="G61" i="77"/>
  <c r="G65" i="77" s="1"/>
  <c r="H61" i="77" s="1"/>
  <c r="H65" i="77" s="1"/>
  <c r="I61" i="77" s="1"/>
  <c r="I65" i="77" s="1"/>
  <c r="J61" i="77" s="1"/>
  <c r="J65" i="77" s="1"/>
  <c r="K61" i="77" s="1"/>
  <c r="K65" i="77" s="1"/>
  <c r="L61" i="77" s="1"/>
  <c r="L65" i="77" s="1"/>
  <c r="M61" i="77" s="1"/>
  <c r="M65" i="77" s="1"/>
  <c r="N61" i="77" s="1"/>
  <c r="N65" i="77" s="1"/>
  <c r="O61" i="77" s="1"/>
  <c r="O65" i="77" s="1"/>
  <c r="P61" i="77" s="1"/>
  <c r="P65" i="77" s="1"/>
  <c r="Q61" i="77" s="1"/>
  <c r="Q65" i="77" s="1"/>
  <c r="R61" i="77" s="1"/>
  <c r="R65" i="77" s="1"/>
  <c r="F61" i="77"/>
  <c r="D43" i="77"/>
  <c r="E43" i="77"/>
  <c r="F53" i="77"/>
  <c r="E55" i="77"/>
  <c r="E54" i="77"/>
  <c r="D54" i="77"/>
  <c r="D57" i="77" s="1"/>
  <c r="E53" i="77" s="1"/>
  <c r="E57" i="77" s="1"/>
  <c r="G53" i="77"/>
  <c r="G57" i="77" s="1"/>
  <c r="H53" i="77" s="1"/>
  <c r="H57" i="77" s="1"/>
  <c r="I53" i="77" s="1"/>
  <c r="I57" i="77" s="1"/>
  <c r="J53" i="77" s="1"/>
  <c r="J57" i="77" s="1"/>
  <c r="K53" i="77" s="1"/>
  <c r="K57" i="77" s="1"/>
  <c r="L53" i="77" s="1"/>
  <c r="L57" i="77" s="1"/>
  <c r="M53" i="77" s="1"/>
  <c r="M57" i="77" s="1"/>
  <c r="N53" i="77" s="1"/>
  <c r="N57" i="77" s="1"/>
  <c r="O53" i="77" s="1"/>
  <c r="O57" i="77" s="1"/>
  <c r="P53" i="77" s="1"/>
  <c r="P57" i="77" s="1"/>
  <c r="Q53" i="77" s="1"/>
  <c r="Q57" i="77" s="1"/>
  <c r="R53" i="77" s="1"/>
  <c r="R57" i="77" s="1"/>
  <c r="E49" i="77"/>
  <c r="D49" i="77"/>
  <c r="F49" i="77" s="1"/>
  <c r="E48" i="77"/>
  <c r="D48" i="77"/>
  <c r="F48" i="77" s="1"/>
  <c r="E47" i="77"/>
  <c r="F47" i="77" s="1"/>
  <c r="D47" i="77"/>
  <c r="E46" i="77"/>
  <c r="D46" i="77"/>
  <c r="F46" i="77" s="1"/>
  <c r="E45" i="77"/>
  <c r="D45" i="77"/>
  <c r="E44" i="77"/>
  <c r="D44" i="77"/>
  <c r="F44" i="77" s="1"/>
  <c r="E42" i="77"/>
  <c r="F42" i="77" s="1"/>
  <c r="D42" i="77"/>
  <c r="E41" i="77"/>
  <c r="D41" i="77"/>
  <c r="F41" i="77" s="1"/>
  <c r="D40" i="77"/>
  <c r="D39" i="77"/>
  <c r="E37" i="77"/>
  <c r="D37" i="77"/>
  <c r="E36" i="77"/>
  <c r="D36" i="77"/>
  <c r="F36" i="77" s="1"/>
  <c r="E35" i="77"/>
  <c r="D35" i="77"/>
  <c r="E34" i="77"/>
  <c r="D34" i="77"/>
  <c r="F34" i="77" s="1"/>
  <c r="E32" i="77"/>
  <c r="F32" i="77" s="1"/>
  <c r="D32" i="77"/>
  <c r="E31" i="77"/>
  <c r="D31" i="77"/>
  <c r="F31" i="77" s="1"/>
  <c r="E30" i="77"/>
  <c r="D30" i="77"/>
  <c r="F30" i="77" s="1"/>
  <c r="E29" i="77"/>
  <c r="D29" i="77"/>
  <c r="D28" i="77"/>
  <c r="E24" i="77"/>
  <c r="D24" i="77"/>
  <c r="F24" i="77" s="1"/>
  <c r="E23" i="77"/>
  <c r="D23" i="77"/>
  <c r="F23" i="77" s="1"/>
  <c r="E22" i="77"/>
  <c r="F22" i="77" s="1"/>
  <c r="E21" i="77"/>
  <c r="Q20" i="77"/>
  <c r="M26" i="77"/>
  <c r="L26" i="77"/>
  <c r="H26" i="77"/>
  <c r="H33" i="77"/>
  <c r="I33" i="77"/>
  <c r="J33" i="77"/>
  <c r="K33" i="77"/>
  <c r="L33" i="77"/>
  <c r="M33" i="77"/>
  <c r="N33" i="77"/>
  <c r="O33" i="77"/>
  <c r="P33" i="77"/>
  <c r="Q33" i="77"/>
  <c r="R33" i="77"/>
  <c r="E40" i="77"/>
  <c r="F40" i="77" s="1"/>
  <c r="I20" i="77"/>
  <c r="J20" i="77"/>
  <c r="K20" i="77"/>
  <c r="L20" i="77"/>
  <c r="N20" i="77"/>
  <c r="O20" i="77"/>
  <c r="E20" i="77" s="1"/>
  <c r="P20" i="77"/>
  <c r="R20" i="77"/>
  <c r="G26" i="77"/>
  <c r="G33" i="77"/>
  <c r="G21" i="77"/>
  <c r="G20" i="77" s="1"/>
  <c r="D21" i="77"/>
  <c r="E39" i="77"/>
  <c r="F39" i="77"/>
  <c r="D38" i="77"/>
  <c r="F21" i="77" l="1"/>
  <c r="E33" i="77"/>
  <c r="F43" i="77"/>
  <c r="E26" i="77"/>
  <c r="D26" i="77"/>
  <c r="F26" i="77" s="1"/>
  <c r="F28" i="77"/>
  <c r="F62" i="77"/>
  <c r="D33" i="77"/>
  <c r="F33" i="77" s="1"/>
  <c r="F29" i="77"/>
  <c r="F37" i="77"/>
  <c r="F35" i="77"/>
  <c r="F45" i="77"/>
  <c r="F63" i="77"/>
  <c r="G50" i="77"/>
  <c r="H50" i="77" s="1"/>
  <c r="I50" i="77" s="1"/>
  <c r="J50" i="77" s="1"/>
  <c r="K50" i="77" s="1"/>
  <c r="L50" i="77" s="1"/>
  <c r="M50" i="77" s="1"/>
  <c r="N50" i="77" s="1"/>
  <c r="O50" i="77" s="1"/>
  <c r="P50" i="77" s="1"/>
  <c r="Q50" i="77" s="1"/>
  <c r="R50" i="77" s="1"/>
  <c r="D20" i="77"/>
  <c r="F65" i="77"/>
  <c r="F54" i="77"/>
  <c r="F57" i="77" s="1"/>
  <c r="D50" i="77" l="1"/>
  <c r="E50" i="77" s="1"/>
  <c r="F20" i="77"/>
  <c r="F50" i="77" s="1"/>
</calcChain>
</file>

<file path=xl/sharedStrings.xml><?xml version="1.0" encoding="utf-8"?>
<sst xmlns="http://schemas.openxmlformats.org/spreadsheetml/2006/main" count="128" uniqueCount="98">
  <si>
    <t>(+ / -) Custeio com COFINS</t>
  </si>
  <si>
    <t>(+ / -) Custeio com PASEP</t>
  </si>
  <si>
    <t>08</t>
  </si>
  <si>
    <t>PCH do MRE</t>
  </si>
  <si>
    <t>11</t>
  </si>
  <si>
    <t>12</t>
  </si>
  <si>
    <t>Quotas Distribuidoras</t>
  </si>
  <si>
    <t>Quotas Transmissoras</t>
  </si>
  <si>
    <t>FLUXO PROINFA</t>
  </si>
  <si>
    <t>01</t>
  </si>
  <si>
    <t>02</t>
  </si>
  <si>
    <t>03</t>
  </si>
  <si>
    <t>04</t>
  </si>
  <si>
    <t>05</t>
  </si>
  <si>
    <t>06</t>
  </si>
  <si>
    <t>07</t>
  </si>
  <si>
    <t>09</t>
  </si>
  <si>
    <t>10</t>
  </si>
  <si>
    <t>(-) Custos Administrativos do Mês</t>
  </si>
  <si>
    <t xml:space="preserve">(-) Atualização Monetária Liquidação CCEE </t>
  </si>
  <si>
    <t xml:space="preserve">(+ / -) Liquidação CCEE </t>
  </si>
  <si>
    <t>Em R$</t>
  </si>
  <si>
    <t>(+) Faturamento das Quotas do PROINFA</t>
  </si>
  <si>
    <t>(-) Energia Contratada</t>
  </si>
  <si>
    <t>(-) Contribuição Anual a CCEE</t>
  </si>
  <si>
    <t>Descrição</t>
  </si>
  <si>
    <t>PCH</t>
  </si>
  <si>
    <t>13</t>
  </si>
  <si>
    <t>Eólica</t>
  </si>
  <si>
    <t>Biomassa</t>
  </si>
  <si>
    <t>14</t>
  </si>
  <si>
    <t>Quotas Cooperativas</t>
  </si>
  <si>
    <t>15</t>
  </si>
  <si>
    <t>(-) Despesas Bancárias</t>
  </si>
  <si>
    <t>(-/+) Atualização Monetária Recursos para MDL</t>
  </si>
  <si>
    <t>16</t>
  </si>
  <si>
    <t>17</t>
  </si>
  <si>
    <t>18</t>
  </si>
  <si>
    <t>19</t>
  </si>
  <si>
    <t>20</t>
  </si>
  <si>
    <t>21</t>
  </si>
  <si>
    <t xml:space="preserve">(+) Restituição de IR de Aplicação Financeira </t>
  </si>
  <si>
    <t>(+) Encargo de Segurança Energética</t>
  </si>
  <si>
    <t>22</t>
  </si>
  <si>
    <t>23</t>
  </si>
  <si>
    <t>(+) Atualização Monetária CELPA</t>
  </si>
  <si>
    <t>(+) Inadimpência CCEE DEZ/2013</t>
  </si>
  <si>
    <t>(-) Despesa de Recontabilização</t>
  </si>
  <si>
    <t>(+/-) Rendimento Bruto de Aplicação Financeira PROINFA</t>
  </si>
  <si>
    <t>(-) IOF de Aplicação Financeira PROINFA</t>
  </si>
  <si>
    <t>(-) IR de Aplicação Financeira PROINFA</t>
  </si>
  <si>
    <t>Realizado JANEIRO/2014</t>
  </si>
  <si>
    <t>Realizado FEVEREIRO/2014</t>
  </si>
  <si>
    <t>Realizado MARÇO/2014</t>
  </si>
  <si>
    <t>Realizado ABRIL/2014</t>
  </si>
  <si>
    <t>Realizado MAIO/2014</t>
  </si>
  <si>
    <t>Realizado JUNHO/2014</t>
  </si>
  <si>
    <t>Realizado JULHO/2014</t>
  </si>
  <si>
    <t>Realizado AGOSTO/2014</t>
  </si>
  <si>
    <t>Notas Explicativas</t>
  </si>
  <si>
    <t xml:space="preserve">                                                                                                                                    SALDO  FINAL </t>
  </si>
  <si>
    <t>Saldo Inicial em 31/12/2013</t>
  </si>
  <si>
    <t>VALORES REALIZADOS DE 
JAN A AGO/2014</t>
  </si>
  <si>
    <t>TOTAL DO PERÍODO DE   
JAN A DEZ/2014</t>
  </si>
  <si>
    <t>(+) Juros de Mora e Multa - Quotas PROINFA em atraso</t>
  </si>
  <si>
    <t xml:space="preserve">                           SALDO FINAL DOS RECURSOS DE MDL :</t>
  </si>
  <si>
    <t>(-) Despesa Extrajudicial</t>
  </si>
  <si>
    <t>VALORES PREVISTOS DE 
SET A DEZ/2014</t>
  </si>
  <si>
    <t xml:space="preserve">                           SALDO FINAL DOS RECURSOS DA RESERVA DE GARANTIA :</t>
  </si>
  <si>
    <t>(+) Ajuste do Rendimento da Reserva de Garantia de 28/10/13 a 31/12/13</t>
  </si>
  <si>
    <t>Posição em:</t>
  </si>
  <si>
    <t>Saldo Inicial dos Recursos Aplicados na Reserva de Garantia em 31/12/2013</t>
  </si>
  <si>
    <t>(+) Atualização Monetária dos Encargo de Seg. Energética</t>
  </si>
  <si>
    <t xml:space="preserve">1a (-) Pagamentos Referentes aos Serviços do MDL </t>
  </si>
  <si>
    <t>1b (-) Pagamentos Referentes aos Serviços da Reserva da Garantia</t>
  </si>
  <si>
    <t>2b (+) Rendimento Bruto da Aplicação da Reserva de Garantia</t>
  </si>
  <si>
    <t>2a (+) Rendimento Bruto da Aplicação em MDL no Período</t>
  </si>
  <si>
    <t>3a (-) IR SOBRE O RENDIMENTO BRUTO DA APLICAÇÃO DO MDL</t>
  </si>
  <si>
    <t>3b (-) IR SOBRE O RENDIMENTO BRUTO DA APLICAÇÃO DA RESERVA DE GARANTIA</t>
  </si>
  <si>
    <t>(-) Atualização Monetária do Custo Administrativo</t>
  </si>
  <si>
    <t>(+)   Juros  Remuneratórios dos Créditos Renegociados</t>
  </si>
  <si>
    <t>(+) Rendimentos dos aportes de Garantias (Bradesco)</t>
  </si>
  <si>
    <t>Saldo Inicial dos Recursos Aplicados em MDL em 31/12/2013</t>
  </si>
  <si>
    <t>(-+) Ajuste de Despesa/Receita de Recontabilização de 2010 a 2013</t>
  </si>
  <si>
    <t>(+) Receita de Recontabilização</t>
  </si>
  <si>
    <t xml:space="preserve">Saldo de 31/12/2013 Ajustado </t>
  </si>
  <si>
    <t>* Ver notas explicativas</t>
  </si>
  <si>
    <t>Ajustes *</t>
  </si>
  <si>
    <t>Realizado SETEMBRO/2014</t>
  </si>
  <si>
    <t>Realizado OUTUBRO/2014</t>
  </si>
  <si>
    <t>Realizado NOVEMBRO/2014</t>
  </si>
  <si>
    <t>Realizado DEZEMBRO/2014</t>
  </si>
  <si>
    <t>MDL conta criada em AGO/2014</t>
  </si>
  <si>
    <t>RESERVA DE GARANTIA conta criada em 10/2013</t>
  </si>
  <si>
    <t xml:space="preserve">            Diretoria Financeira - DF</t>
  </si>
  <si>
    <t xml:space="preserve">            Departamento de Administração de Capital de Giro - DFG</t>
  </si>
  <si>
    <t xml:space="preserve">            Divisão de contas a receber e Contas a Pagar - DFGC</t>
  </si>
  <si>
    <t xml:space="preserve">            FLUXO PROINFA - 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</si>
</sst>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$&quot;\ #,##0.00;[Red]\-&quot;R$&quot;\ #,##0.00"/>
    <numFmt numFmtId="43" formatCode="_-* #,##0.00_-;\-* #,##0.00_-;_-* &quot;-&quot;??_-;_-@_-"/>
    <numFmt numFmtId="164" formatCode="_(* #,##0.00_);_(* \(#,##0.00\);_(* &quot;-&quot;??_);_(@_)"/>
    <numFmt numFmtId="165" formatCode="#,##0.00_)\ \ ;\(#,##0.00\)\ \ "/>
    <numFmt numFmtId="166" formatCode="\ \ @"/>
    <numFmt numFmtId="167" formatCode="#,##0.00_ ;[Red]\-#,##0.00\ "/>
    <numFmt numFmtId="168" formatCode="#,##0.00_ \ \ ;[Red]\-#,##0.00\ \ \ "/>
    <numFmt numFmtId="169" formatCode="&quot;R$&quot;\ #,##0.00"/>
  </numFmts>
  <fonts count="36" x14ac:knownFonts="1">
    <font>
      <sz val="10"/>
      <name val="Arial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u/>
      <sz val="14"/>
      <color indexed="18"/>
      <name val="Arial"/>
      <family val="2"/>
    </font>
    <font>
      <b/>
      <sz val="14"/>
      <color indexed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i/>
      <sz val="12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color rgb="FF002060"/>
      <name val="Arial"/>
      <family val="2"/>
    </font>
    <font>
      <sz val="10"/>
      <color rgb="FFFF0000"/>
      <name val="Arial"/>
      <family val="2"/>
    </font>
    <font>
      <b/>
      <sz val="14"/>
      <color rgb="FF00206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0" fontId="24" fillId="22" borderId="0" applyNumberFormat="0" applyBorder="0" applyAlignment="0" applyProtection="0"/>
    <xf numFmtId="39" fontId="2" fillId="0" borderId="0"/>
    <xf numFmtId="0" fontId="7" fillId="23" borderId="4" applyNumberFormat="0" applyFont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164" fontId="1" fillId="0" borderId="0" applyFont="0" applyFill="0" applyBorder="0" applyAlignment="0" applyProtection="0"/>
  </cellStyleXfs>
  <cellXfs count="120">
    <xf numFmtId="0" fontId="0" fillId="0" borderId="0" xfId="0"/>
    <xf numFmtId="39" fontId="4" fillId="24" borderId="0" xfId="32" applyFont="1" applyFill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 applyAlignment="1">
      <alignment vertical="center"/>
    </xf>
    <xf numFmtId="39" fontId="8" fillId="24" borderId="0" xfId="32" applyFont="1" applyFill="1" applyBorder="1" applyAlignment="1">
      <alignment horizontal="center" vertical="center"/>
    </xf>
    <xf numFmtId="2" fontId="9" fillId="24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24" borderId="0" xfId="0" applyFont="1" applyFill="1" applyAlignment="1">
      <alignment vertical="center"/>
    </xf>
    <xf numFmtId="164" fontId="14" fillId="0" borderId="0" xfId="43" applyFont="1" applyAlignment="1">
      <alignment vertical="center"/>
    </xf>
    <xf numFmtId="0" fontId="11" fillId="24" borderId="0" xfId="0" applyFont="1" applyFill="1" applyBorder="1"/>
    <xf numFmtId="39" fontId="11" fillId="24" borderId="0" xfId="32" applyFont="1" applyFill="1" applyBorder="1" applyAlignment="1">
      <alignment vertical="center"/>
    </xf>
    <xf numFmtId="0" fontId="0" fillId="24" borderId="10" xfId="0" applyFill="1" applyBorder="1"/>
    <xf numFmtId="0" fontId="0" fillId="24" borderId="11" xfId="0" applyFill="1" applyBorder="1"/>
    <xf numFmtId="0" fontId="0" fillId="24" borderId="12" xfId="0" applyFill="1" applyBorder="1"/>
    <xf numFmtId="0" fontId="0" fillId="24" borderId="13" xfId="0" applyFill="1" applyBorder="1"/>
    <xf numFmtId="0" fontId="0" fillId="24" borderId="14" xfId="0" applyFill="1" applyBorder="1" applyAlignment="1">
      <alignment vertical="center"/>
    </xf>
    <xf numFmtId="0" fontId="4" fillId="24" borderId="14" xfId="0" applyFont="1" applyFill="1" applyBorder="1"/>
    <xf numFmtId="0" fontId="0" fillId="24" borderId="15" xfId="0" applyFill="1" applyBorder="1"/>
    <xf numFmtId="0" fontId="11" fillId="25" borderId="16" xfId="0" applyFont="1" applyFill="1" applyBorder="1" applyAlignment="1">
      <alignment horizontal="center" vertical="center"/>
    </xf>
    <xf numFmtId="14" fontId="33" fillId="24" borderId="14" xfId="0" applyNumberFormat="1" applyFont="1" applyFill="1" applyBorder="1" applyAlignment="1">
      <alignment horizontal="left"/>
    </xf>
    <xf numFmtId="0" fontId="7" fillId="0" borderId="0" xfId="0" applyFont="1"/>
    <xf numFmtId="0" fontId="7" fillId="28" borderId="0" xfId="0" applyFont="1" applyFill="1" applyBorder="1" applyAlignment="1">
      <alignment horizontal="right" vertical="center"/>
    </xf>
    <xf numFmtId="0" fontId="7" fillId="28" borderId="17" xfId="0" applyFont="1" applyFill="1" applyBorder="1" applyAlignment="1">
      <alignment horizontal="left" vertical="center"/>
    </xf>
    <xf numFmtId="0" fontId="7" fillId="28" borderId="18" xfId="0" applyFont="1" applyFill="1" applyBorder="1" applyAlignment="1">
      <alignment horizontal="left" vertical="center"/>
    </xf>
    <xf numFmtId="0" fontId="6" fillId="28" borderId="0" xfId="0" applyFont="1" applyFill="1" applyBorder="1" applyAlignment="1">
      <alignment horizontal="left" vertical="center"/>
    </xf>
    <xf numFmtId="165" fontId="6" fillId="28" borderId="0" xfId="43" applyNumberFormat="1" applyFont="1" applyFill="1" applyBorder="1" applyAlignment="1">
      <alignment vertical="center"/>
    </xf>
    <xf numFmtId="39" fontId="6" fillId="26" borderId="19" xfId="43" applyNumberFormat="1" applyFont="1" applyFill="1" applyBorder="1" applyAlignment="1">
      <alignment horizontal="center" vertical="center" wrapText="1"/>
    </xf>
    <xf numFmtId="39" fontId="6" fillId="29" borderId="19" xfId="43" applyNumberFormat="1" applyFont="1" applyFill="1" applyBorder="1" applyAlignment="1">
      <alignment horizontal="center" vertical="center" wrapText="1"/>
    </xf>
    <xf numFmtId="167" fontId="12" fillId="28" borderId="20" xfId="43" applyNumberFormat="1" applyFont="1" applyFill="1" applyBorder="1" applyAlignment="1">
      <alignment vertical="center"/>
    </xf>
    <xf numFmtId="167" fontId="13" fillId="28" borderId="21" xfId="43" applyNumberFormat="1" applyFont="1" applyFill="1" applyBorder="1" applyAlignment="1">
      <alignment vertical="center"/>
    </xf>
    <xf numFmtId="167" fontId="12" fillId="28" borderId="21" xfId="43" applyNumberFormat="1" applyFont="1" applyFill="1" applyBorder="1" applyAlignment="1">
      <alignment vertical="center"/>
    </xf>
    <xf numFmtId="167" fontId="13" fillId="28" borderId="20" xfId="43" applyNumberFormat="1" applyFont="1" applyFill="1" applyBorder="1" applyAlignment="1">
      <alignment vertical="center"/>
    </xf>
    <xf numFmtId="167" fontId="12" fillId="28" borderId="22" xfId="43" applyNumberFormat="1" applyFont="1" applyFill="1" applyBorder="1" applyAlignment="1">
      <alignment vertical="center"/>
    </xf>
    <xf numFmtId="167" fontId="12" fillId="27" borderId="23" xfId="43" applyNumberFormat="1" applyFont="1" applyFill="1" applyBorder="1" applyAlignment="1">
      <alignment vertical="center"/>
    </xf>
    <xf numFmtId="0" fontId="7" fillId="0" borderId="14" xfId="0" applyFont="1" applyBorder="1" applyAlignment="1">
      <alignment vertical="center"/>
    </xf>
    <xf numFmtId="165" fontId="12" fillId="29" borderId="24" xfId="43" applyNumberFormat="1" applyFont="1" applyFill="1" applyBorder="1" applyAlignment="1">
      <alignment vertical="center"/>
    </xf>
    <xf numFmtId="165" fontId="7" fillId="28" borderId="25" xfId="43" applyNumberFormat="1" applyFont="1" applyFill="1" applyBorder="1" applyAlignment="1">
      <alignment vertical="center"/>
    </xf>
    <xf numFmtId="165" fontId="6" fillId="29" borderId="26" xfId="43" applyNumberFormat="1" applyFont="1" applyFill="1" applyBorder="1" applyAlignment="1">
      <alignment vertical="center"/>
    </xf>
    <xf numFmtId="166" fontId="7" fillId="28" borderId="27" xfId="0" applyNumberFormat="1" applyFont="1" applyFill="1" applyBorder="1" applyAlignment="1">
      <alignment horizontal="left" vertical="center"/>
    </xf>
    <xf numFmtId="0" fontId="6" fillId="28" borderId="21" xfId="0" applyFont="1" applyFill="1" applyBorder="1" applyAlignment="1">
      <alignment horizontal="right" vertical="center" wrapText="1"/>
    </xf>
    <xf numFmtId="166" fontId="7" fillId="28" borderId="20" xfId="0" applyNumberFormat="1" applyFont="1" applyFill="1" applyBorder="1" applyAlignment="1">
      <alignment vertical="center"/>
    </xf>
    <xf numFmtId="166" fontId="7" fillId="28" borderId="21" xfId="0" applyNumberFormat="1" applyFont="1" applyFill="1" applyBorder="1" applyAlignment="1">
      <alignment vertical="center"/>
    </xf>
    <xf numFmtId="166" fontId="7" fillId="28" borderId="21" xfId="0" applyNumberFormat="1" applyFont="1" applyFill="1" applyBorder="1" applyAlignment="1">
      <alignment horizontal="left" vertical="center"/>
    </xf>
    <xf numFmtId="167" fontId="12" fillId="28" borderId="28" xfId="43" applyNumberFormat="1" applyFont="1" applyFill="1" applyBorder="1" applyAlignment="1">
      <alignment vertical="center"/>
    </xf>
    <xf numFmtId="0" fontId="15" fillId="28" borderId="0" xfId="0" applyFont="1" applyFill="1" applyBorder="1" applyAlignment="1">
      <alignment horizontal="right" vertical="center"/>
    </xf>
    <xf numFmtId="167" fontId="12" fillId="28" borderId="0" xfId="43" applyNumberFormat="1" applyFont="1" applyFill="1" applyBorder="1" applyAlignment="1">
      <alignment vertical="center"/>
    </xf>
    <xf numFmtId="0" fontId="7" fillId="28" borderId="0" xfId="0" applyFont="1" applyFill="1" applyAlignment="1">
      <alignment vertical="center"/>
    </xf>
    <xf numFmtId="164" fontId="34" fillId="0" borderId="0" xfId="43" applyFont="1"/>
    <xf numFmtId="0" fontId="5" fillId="26" borderId="29" xfId="0" applyFont="1" applyFill="1" applyBorder="1" applyAlignment="1">
      <alignment horizontal="center" vertical="center"/>
    </xf>
    <xf numFmtId="49" fontId="6" fillId="28" borderId="31" xfId="0" applyNumberFormat="1" applyFont="1" applyFill="1" applyBorder="1" applyAlignment="1">
      <alignment horizontal="center" vertical="center"/>
    </xf>
    <xf numFmtId="0" fontId="35" fillId="24" borderId="32" xfId="0" applyFont="1" applyFill="1" applyBorder="1" applyAlignment="1">
      <alignment horizontal="right"/>
    </xf>
    <xf numFmtId="0" fontId="7" fillId="0" borderId="0" xfId="0" applyFont="1" applyBorder="1" applyAlignment="1">
      <alignment vertical="center"/>
    </xf>
    <xf numFmtId="167" fontId="13" fillId="28" borderId="0" xfId="43" applyNumberFormat="1" applyFont="1" applyFill="1" applyBorder="1" applyAlignment="1">
      <alignment vertical="center"/>
    </xf>
    <xf numFmtId="166" fontId="7" fillId="28" borderId="0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vertical="center"/>
    </xf>
    <xf numFmtId="43" fontId="0" fillId="0" borderId="0" xfId="0" applyNumberFormat="1"/>
    <xf numFmtId="165" fontId="7" fillId="28" borderId="0" xfId="43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4" fontId="14" fillId="0" borderId="0" xfId="43" applyFont="1" applyBorder="1" applyAlignment="1">
      <alignment vertical="center"/>
    </xf>
    <xf numFmtId="166" fontId="7" fillId="28" borderId="22" xfId="0" applyNumberFormat="1" applyFont="1" applyFill="1" applyBorder="1" applyAlignment="1">
      <alignment vertical="center"/>
    </xf>
    <xf numFmtId="166" fontId="7" fillId="28" borderId="28" xfId="0" applyNumberFormat="1" applyFont="1" applyFill="1" applyBorder="1" applyAlignment="1">
      <alignment vertical="center"/>
    </xf>
    <xf numFmtId="168" fontId="12" fillId="28" borderId="33" xfId="43" quotePrefix="1" applyNumberFormat="1" applyFont="1" applyFill="1" applyBorder="1" applyAlignment="1">
      <alignment horizontal="right" vertical="center"/>
    </xf>
    <xf numFmtId="168" fontId="12" fillId="28" borderId="34" xfId="43" applyNumberFormat="1" applyFont="1" applyFill="1" applyBorder="1" applyAlignment="1">
      <alignment horizontal="right" vertical="center"/>
    </xf>
    <xf numFmtId="168" fontId="12" fillId="28" borderId="35" xfId="43" applyNumberFormat="1" applyFont="1" applyFill="1" applyBorder="1" applyAlignment="1">
      <alignment horizontal="right" vertical="center"/>
    </xf>
    <xf numFmtId="0" fontId="7" fillId="0" borderId="36" xfId="0" applyFont="1" applyBorder="1" applyAlignment="1">
      <alignment vertical="center"/>
    </xf>
    <xf numFmtId="168" fontId="12" fillId="28" borderId="37" xfId="43" applyNumberFormat="1" applyFont="1" applyFill="1" applyBorder="1" applyAlignment="1">
      <alignment vertical="center"/>
    </xf>
    <xf numFmtId="39" fontId="6" fillId="26" borderId="38" xfId="43" applyNumberFormat="1" applyFont="1" applyFill="1" applyBorder="1" applyAlignment="1">
      <alignment horizontal="center" vertical="center" wrapText="1"/>
    </xf>
    <xf numFmtId="39" fontId="6" fillId="30" borderId="19" xfId="43" applyNumberFormat="1" applyFont="1" applyFill="1" applyBorder="1" applyAlignment="1">
      <alignment horizontal="center" vertical="center" wrapText="1"/>
    </xf>
    <xf numFmtId="169" fontId="7" fillId="0" borderId="0" xfId="0" applyNumberFormat="1" applyFont="1" applyAlignment="1">
      <alignment vertical="center"/>
    </xf>
    <xf numFmtId="14" fontId="35" fillId="24" borderId="39" xfId="0" applyNumberFormat="1" applyFont="1" applyFill="1" applyBorder="1" applyAlignment="1">
      <alignment horizontal="center"/>
    </xf>
    <xf numFmtId="0" fontId="0" fillId="28" borderId="0" xfId="0" applyFill="1" applyBorder="1"/>
    <xf numFmtId="165" fontId="5" fillId="28" borderId="0" xfId="43" applyNumberFormat="1" applyFont="1" applyFill="1" applyBorder="1" applyAlignment="1">
      <alignment horizontal="center" vertical="center" wrapText="1"/>
    </xf>
    <xf numFmtId="169" fontId="5" fillId="28" borderId="0" xfId="43" applyNumberFormat="1" applyFont="1" applyFill="1" applyBorder="1" applyAlignment="1">
      <alignment vertical="center"/>
    </xf>
    <xf numFmtId="0" fontId="7" fillId="28" borderId="0" xfId="0" applyFont="1" applyFill="1" applyBorder="1" applyAlignment="1">
      <alignment vertical="center"/>
    </xf>
    <xf numFmtId="8" fontId="5" fillId="28" borderId="0" xfId="43" applyNumberFormat="1" applyFont="1" applyFill="1" applyBorder="1" applyAlignment="1">
      <alignment vertical="center"/>
    </xf>
    <xf numFmtId="0" fontId="7" fillId="28" borderId="0" xfId="0" applyFont="1" applyFill="1" applyBorder="1"/>
    <xf numFmtId="169" fontId="7" fillId="28" borderId="0" xfId="0" applyNumberFormat="1" applyFont="1" applyFill="1" applyBorder="1" applyAlignment="1">
      <alignment vertical="center"/>
    </xf>
    <xf numFmtId="0" fontId="7" fillId="28" borderId="0" xfId="0" applyFont="1" applyFill="1" applyBorder="1" applyAlignment="1">
      <alignment horizontal="center" vertical="center"/>
    </xf>
    <xf numFmtId="167" fontId="12" fillId="30" borderId="20" xfId="43" applyNumberFormat="1" applyFont="1" applyFill="1" applyBorder="1" applyAlignment="1">
      <alignment vertical="center"/>
    </xf>
    <xf numFmtId="167" fontId="13" fillId="30" borderId="21" xfId="43" applyNumberFormat="1" applyFont="1" applyFill="1" applyBorder="1" applyAlignment="1">
      <alignment vertical="center"/>
    </xf>
    <xf numFmtId="167" fontId="12" fillId="30" borderId="21" xfId="43" applyNumberFormat="1" applyFont="1" applyFill="1" applyBorder="1" applyAlignment="1">
      <alignment vertical="center"/>
    </xf>
    <xf numFmtId="167" fontId="13" fillId="30" borderId="20" xfId="43" applyNumberFormat="1" applyFont="1" applyFill="1" applyBorder="1" applyAlignment="1">
      <alignment vertical="center"/>
    </xf>
    <xf numFmtId="167" fontId="12" fillId="30" borderId="22" xfId="43" applyNumberFormat="1" applyFont="1" applyFill="1" applyBorder="1" applyAlignment="1">
      <alignment vertical="center"/>
    </xf>
    <xf numFmtId="167" fontId="12" fillId="30" borderId="28" xfId="43" applyNumberFormat="1" applyFont="1" applyFill="1" applyBorder="1" applyAlignment="1">
      <alignment vertical="center"/>
    </xf>
    <xf numFmtId="168" fontId="12" fillId="30" borderId="37" xfId="43" applyNumberFormat="1" applyFont="1" applyFill="1" applyBorder="1" applyAlignment="1">
      <alignment vertical="center"/>
    </xf>
    <xf numFmtId="168" fontId="12" fillId="30" borderId="33" xfId="43" quotePrefix="1" applyNumberFormat="1" applyFont="1" applyFill="1" applyBorder="1" applyAlignment="1">
      <alignment horizontal="right" vertical="center"/>
    </xf>
    <xf numFmtId="168" fontId="12" fillId="30" borderId="34" xfId="43" applyNumberFormat="1" applyFont="1" applyFill="1" applyBorder="1" applyAlignment="1">
      <alignment horizontal="right" vertical="center"/>
    </xf>
    <xf numFmtId="168" fontId="12" fillId="30" borderId="35" xfId="43" applyNumberFormat="1" applyFont="1" applyFill="1" applyBorder="1" applyAlignment="1">
      <alignment horizontal="right" vertical="center"/>
    </xf>
    <xf numFmtId="49" fontId="6" fillId="28" borderId="13" xfId="0" applyNumberFormat="1" applyFont="1" applyFill="1" applyBorder="1" applyAlignment="1">
      <alignment horizontal="center" vertical="center"/>
    </xf>
    <xf numFmtId="49" fontId="6" fillId="28" borderId="30" xfId="0" applyNumberFormat="1" applyFont="1" applyFill="1" applyBorder="1" applyAlignment="1">
      <alignment horizontal="center" vertical="center"/>
    </xf>
    <xf numFmtId="0" fontId="10" fillId="25" borderId="54" xfId="0" applyFont="1" applyFill="1" applyBorder="1" applyAlignment="1">
      <alignment horizontal="center" vertical="center"/>
    </xf>
    <xf numFmtId="0" fontId="10" fillId="25" borderId="55" xfId="0" applyFont="1" applyFill="1" applyBorder="1" applyAlignment="1">
      <alignment horizontal="center" vertical="center"/>
    </xf>
    <xf numFmtId="0" fontId="12" fillId="29" borderId="10" xfId="0" applyFont="1" applyFill="1" applyBorder="1" applyAlignment="1">
      <alignment horizontal="right" vertical="center"/>
    </xf>
    <xf numFmtId="0" fontId="12" fillId="29" borderId="11" xfId="0" applyFont="1" applyFill="1" applyBorder="1" applyAlignment="1">
      <alignment horizontal="right" vertical="center"/>
    </xf>
    <xf numFmtId="0" fontId="13" fillId="28" borderId="40" xfId="0" applyFont="1" applyFill="1" applyBorder="1" applyAlignment="1">
      <alignment horizontal="left" vertical="center" wrapText="1"/>
    </xf>
    <xf numFmtId="0" fontId="13" fillId="28" borderId="41" xfId="0" applyFont="1" applyFill="1" applyBorder="1" applyAlignment="1">
      <alignment horizontal="left" vertical="center" wrapText="1"/>
    </xf>
    <xf numFmtId="49" fontId="6" fillId="28" borderId="56" xfId="0" applyNumberFormat="1" applyFont="1" applyFill="1" applyBorder="1" applyAlignment="1">
      <alignment horizontal="center" vertical="center"/>
    </xf>
    <xf numFmtId="49" fontId="6" fillId="28" borderId="13" xfId="0" applyNumberFormat="1" applyFont="1" applyFill="1" applyBorder="1" applyAlignment="1">
      <alignment horizontal="center" vertical="center"/>
    </xf>
    <xf numFmtId="49" fontId="6" fillId="28" borderId="30" xfId="0" applyNumberFormat="1" applyFont="1" applyFill="1" applyBorder="1" applyAlignment="1">
      <alignment horizontal="center" vertical="center"/>
    </xf>
    <xf numFmtId="49" fontId="6" fillId="28" borderId="27" xfId="0" applyNumberFormat="1" applyFont="1" applyFill="1" applyBorder="1" applyAlignment="1">
      <alignment horizontal="center" vertical="center"/>
    </xf>
    <xf numFmtId="49" fontId="6" fillId="28" borderId="21" xfId="0" applyNumberFormat="1" applyFont="1" applyFill="1" applyBorder="1" applyAlignment="1">
      <alignment horizontal="center" vertical="center"/>
    </xf>
    <xf numFmtId="0" fontId="6" fillId="28" borderId="52" xfId="0" applyFont="1" applyFill="1" applyBorder="1" applyAlignment="1">
      <alignment horizontal="center" vertical="center"/>
    </xf>
    <xf numFmtId="0" fontId="6" fillId="28" borderId="53" xfId="0" applyFont="1" applyFill="1" applyBorder="1" applyAlignment="1">
      <alignment horizontal="center" vertical="center"/>
    </xf>
    <xf numFmtId="0" fontId="12" fillId="29" borderId="42" xfId="0" applyFont="1" applyFill="1" applyBorder="1" applyAlignment="1">
      <alignment horizontal="right" vertical="center"/>
    </xf>
    <xf numFmtId="0" fontId="12" fillId="29" borderId="43" xfId="0" applyFont="1" applyFill="1" applyBorder="1" applyAlignment="1">
      <alignment horizontal="right" vertical="center"/>
    </xf>
    <xf numFmtId="0" fontId="15" fillId="27" borderId="44" xfId="0" applyFont="1" applyFill="1" applyBorder="1" applyAlignment="1">
      <alignment horizontal="right" vertical="center"/>
    </xf>
    <xf numFmtId="0" fontId="15" fillId="27" borderId="45" xfId="0" applyFont="1" applyFill="1" applyBorder="1" applyAlignment="1">
      <alignment horizontal="right" vertical="center"/>
    </xf>
    <xf numFmtId="0" fontId="5" fillId="26" borderId="46" xfId="0" applyFont="1" applyFill="1" applyBorder="1" applyAlignment="1">
      <alignment horizontal="center" vertical="center"/>
    </xf>
    <xf numFmtId="0" fontId="5" fillId="26" borderId="47" xfId="0" applyFont="1" applyFill="1" applyBorder="1" applyAlignment="1">
      <alignment horizontal="center" vertical="center"/>
    </xf>
    <xf numFmtId="0" fontId="13" fillId="28" borderId="48" xfId="0" applyFont="1" applyFill="1" applyBorder="1" applyAlignment="1">
      <alignment horizontal="left" vertical="center" wrapText="1"/>
    </xf>
    <xf numFmtId="0" fontId="13" fillId="28" borderId="49" xfId="0" applyFont="1" applyFill="1" applyBorder="1" applyAlignment="1">
      <alignment horizontal="left" vertical="center" wrapText="1"/>
    </xf>
    <xf numFmtId="0" fontId="13" fillId="28" borderId="50" xfId="0" applyFont="1" applyFill="1" applyBorder="1" applyAlignment="1">
      <alignment horizontal="left" vertical="center" wrapText="1"/>
    </xf>
    <xf numFmtId="0" fontId="13" fillId="28" borderId="51" xfId="0" applyFont="1" applyFill="1" applyBorder="1" applyAlignment="1">
      <alignment horizontal="left" vertical="center" wrapText="1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_APLJF-9A" xfId="32"/>
    <cellStyle name="Nota" xfId="33" builtinId="10" customBuiltin="1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" xfId="4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1D1D1"/>
      <rgbColor rgb="0047474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5E5FF"/>
      <rgbColor rgb="00CEF9FE"/>
      <rgbColor rgb="00CCFFCC"/>
      <rgbColor rgb="00FFFF99"/>
      <rgbColor rgb="00D5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440532</xdr:colOff>
      <xdr:row>2</xdr:row>
      <xdr:rowOff>95249</xdr:rowOff>
    </xdr:from>
    <xdr:to>
      <xdr:col>2</xdr:col>
      <xdr:colOff>454706</xdr:colOff>
      <xdr:row>6</xdr:row>
      <xdr:rowOff>166677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3" y="416718"/>
          <a:ext cx="1526268" cy="9763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fs01\depto-dff\Documents%20and%20Settings\delgado\Configura&#231;&#245;es%20locais\Temporary%20Internet%20Files\OLK55A\Despesas%20%20(Jan05%20a%20Jun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e"/>
      <sheetName val="gdec"/>
      <sheetName val="dece"/>
      <sheetName val="decm"/>
      <sheetName val="dea"/>
      <sheetName val="deg"/>
      <sheetName val="det"/>
      <sheetName val="dff"/>
      <sheetName val="dfc"/>
      <sheetName val="dfi"/>
      <sheetName val="dai"/>
      <sheetName val="dao"/>
      <sheetName val="prj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tabColor rgb="FF00B050"/>
    <outlinePr summaryBelow="0"/>
  </sheetPr>
  <dimension ref="A1:R92"/>
  <sheetViews>
    <sheetView showGridLines="0" tabSelected="1" zoomScale="80" zoomScaleNormal="80" workbookViewId="0">
      <selection activeCell="E11" sqref="E11"/>
    </sheetView>
  </sheetViews>
  <sheetFormatPr defaultColWidth="21.42578125" defaultRowHeight="15" x14ac:dyDescent="0.2"/>
  <cols>
    <col min="1" max="1" width="6.5703125" style="2" customWidth="1"/>
    <col min="2" max="2" width="22.7109375" style="2" bestFit="1" customWidth="1"/>
    <col min="3" max="3" width="64.28515625" style="2" customWidth="1"/>
    <col min="4" max="4" width="26.7109375" style="2" customWidth="1"/>
    <col min="5" max="5" width="23.7109375" style="2" customWidth="1"/>
    <col min="6" max="6" width="31.7109375" style="2" bestFit="1" customWidth="1"/>
    <col min="7" max="7" width="24.42578125" style="11" customWidth="1"/>
    <col min="8" max="8" width="24.140625" style="2" customWidth="1"/>
    <col min="9" max="9" width="26.28515625" style="2" customWidth="1"/>
    <col min="10" max="10" width="25.140625" style="2" customWidth="1"/>
    <col min="11" max="11" width="24.28515625" style="2" customWidth="1"/>
    <col min="12" max="12" width="25" style="2" customWidth="1"/>
    <col min="13" max="13" width="26.42578125" style="2" customWidth="1"/>
    <col min="14" max="14" width="25.5703125" style="2" customWidth="1"/>
    <col min="15" max="15" width="25" style="2" customWidth="1"/>
    <col min="16" max="16" width="24.7109375" style="2" customWidth="1"/>
    <col min="17" max="17" width="25.42578125" style="2" customWidth="1"/>
    <col min="18" max="18" width="25.28515625" style="2" customWidth="1"/>
    <col min="19" max="16384" width="21.42578125" style="2"/>
  </cols>
  <sheetData>
    <row r="1" spans="2:16" ht="9" customHeight="1" thickBot="1" x14ac:dyDescent="0.25">
      <c r="B1" s="1"/>
      <c r="C1" s="4"/>
      <c r="D1" s="5"/>
      <c r="I1" s="6"/>
    </row>
    <row r="2" spans="2:16" ht="15.95" customHeight="1" thickTop="1" x14ac:dyDescent="0.2">
      <c r="B2" s="14"/>
      <c r="C2" s="15"/>
      <c r="D2" s="16"/>
      <c r="E2"/>
      <c r="I2" s="7"/>
    </row>
    <row r="3" spans="2:16" ht="23.25" customHeight="1" x14ac:dyDescent="0.25">
      <c r="B3" s="17"/>
      <c r="C3" s="12" t="s">
        <v>94</v>
      </c>
      <c r="D3" s="18"/>
      <c r="E3"/>
      <c r="F3"/>
      <c r="G3"/>
      <c r="H3"/>
      <c r="I3"/>
      <c r="J3"/>
      <c r="K3"/>
    </row>
    <row r="4" spans="2:16" ht="15.75" customHeight="1" x14ac:dyDescent="0.25">
      <c r="B4" s="17"/>
      <c r="C4" s="12" t="s">
        <v>95</v>
      </c>
      <c r="D4" s="19"/>
      <c r="E4"/>
      <c r="F4"/>
      <c r="G4"/>
      <c r="H4"/>
      <c r="I4"/>
      <c r="J4"/>
      <c r="K4"/>
    </row>
    <row r="5" spans="2:16" ht="15.95" customHeight="1" x14ac:dyDescent="0.25">
      <c r="B5" s="17"/>
      <c r="C5" s="12" t="s">
        <v>96</v>
      </c>
      <c r="D5" s="19"/>
      <c r="E5"/>
      <c r="F5"/>
      <c r="G5"/>
      <c r="H5"/>
      <c r="I5"/>
      <c r="J5"/>
      <c r="K5"/>
    </row>
    <row r="6" spans="2:16" s="9" customFormat="1" ht="15.95" customHeight="1" x14ac:dyDescent="0.2">
      <c r="B6" s="17"/>
      <c r="C6" s="13" t="s">
        <v>97</v>
      </c>
      <c r="D6" s="37"/>
      <c r="E6"/>
      <c r="F6"/>
      <c r="G6"/>
      <c r="H6"/>
      <c r="I6"/>
      <c r="J6"/>
      <c r="K6"/>
    </row>
    <row r="7" spans="2:16" s="9" customFormat="1" ht="15.95" customHeight="1" x14ac:dyDescent="0.25">
      <c r="B7" s="17"/>
      <c r="D7" s="22"/>
      <c r="E7"/>
      <c r="F7"/>
      <c r="G7"/>
      <c r="H7"/>
      <c r="I7"/>
      <c r="J7"/>
      <c r="K7"/>
    </row>
    <row r="8" spans="2:16" s="9" customFormat="1" ht="15.95" customHeight="1" x14ac:dyDescent="0.25">
      <c r="B8" s="17"/>
      <c r="C8" s="13"/>
      <c r="D8" s="22"/>
      <c r="E8"/>
      <c r="F8"/>
      <c r="G8"/>
      <c r="H8"/>
      <c r="I8"/>
      <c r="J8"/>
      <c r="K8"/>
    </row>
    <row r="9" spans="2:16" s="9" customFormat="1" ht="18" customHeight="1" thickBot="1" x14ac:dyDescent="0.3">
      <c r="B9" s="20"/>
      <c r="C9" s="53" t="s">
        <v>70</v>
      </c>
      <c r="D9" s="76">
        <v>42191</v>
      </c>
      <c r="E9"/>
      <c r="F9" s="77"/>
      <c r="G9" s="77"/>
      <c r="H9" s="77"/>
      <c r="I9"/>
      <c r="J9"/>
      <c r="K9"/>
    </row>
    <row r="10" spans="2:16" s="9" customFormat="1" ht="15.95" customHeight="1" thickTop="1" thickBot="1" x14ac:dyDescent="0.25">
      <c r="C10"/>
      <c r="D10"/>
      <c r="E10"/>
      <c r="F10" s="77"/>
      <c r="G10" s="77"/>
      <c r="H10" s="77"/>
      <c r="I10"/>
      <c r="J10"/>
      <c r="K10"/>
      <c r="O10" s="80"/>
    </row>
    <row r="11" spans="2:16" s="9" customFormat="1" ht="42.75" customHeight="1" thickTop="1" thickBot="1" x14ac:dyDescent="0.25">
      <c r="B11" s="97" t="s">
        <v>8</v>
      </c>
      <c r="C11" s="98"/>
      <c r="D11" s="21" t="s">
        <v>21</v>
      </c>
      <c r="E11"/>
      <c r="F11" s="78"/>
      <c r="G11" s="79"/>
      <c r="H11" s="80"/>
      <c r="O11" s="80"/>
    </row>
    <row r="12" spans="2:16" s="9" customFormat="1" ht="30" customHeight="1" thickTop="1" x14ac:dyDescent="0.2">
      <c r="B12" s="99" t="s">
        <v>61</v>
      </c>
      <c r="C12" s="100"/>
      <c r="D12" s="38">
        <v>188519406.05000001</v>
      </c>
      <c r="E12"/>
      <c r="F12" s="78"/>
      <c r="G12" s="81"/>
      <c r="H12" s="80"/>
      <c r="O12" s="84"/>
    </row>
    <row r="13" spans="2:16" s="9" customFormat="1" ht="18" customHeight="1" x14ac:dyDescent="0.2">
      <c r="B13" s="108" t="s">
        <v>87</v>
      </c>
      <c r="C13" s="25" t="s">
        <v>83</v>
      </c>
      <c r="D13" s="39">
        <v>42450.51</v>
      </c>
      <c r="E13" s="23"/>
      <c r="F13" s="77"/>
      <c r="G13" s="56"/>
      <c r="H13" s="80"/>
      <c r="O13" s="84"/>
      <c r="P13" s="54"/>
    </row>
    <row r="14" spans="2:16" s="9" customFormat="1" ht="18" customHeight="1" x14ac:dyDescent="0.2">
      <c r="B14" s="108"/>
      <c r="C14" s="25" t="s">
        <v>45</v>
      </c>
      <c r="D14" s="39">
        <v>12426.67</v>
      </c>
      <c r="E14" s="50"/>
      <c r="F14" s="78"/>
      <c r="G14" s="81"/>
      <c r="H14" s="80"/>
      <c r="N14" s="57"/>
      <c r="O14" s="80"/>
      <c r="P14" s="54"/>
    </row>
    <row r="15" spans="2:16" s="9" customFormat="1" ht="18" customHeight="1" x14ac:dyDescent="0.2">
      <c r="B15" s="108"/>
      <c r="C15" s="25" t="s">
        <v>69</v>
      </c>
      <c r="D15" s="39">
        <f>2426102.97+51031.21+2846672.15</f>
        <v>5323806.33</v>
      </c>
      <c r="E15" s="59"/>
      <c r="F15" s="82"/>
      <c r="G15" s="83"/>
      <c r="H15" s="80"/>
      <c r="P15" s="55"/>
    </row>
    <row r="16" spans="2:16" s="9" customFormat="1" ht="18" customHeight="1" x14ac:dyDescent="0.2">
      <c r="B16" s="109"/>
      <c r="C16" s="26" t="s">
        <v>46</v>
      </c>
      <c r="D16" s="39">
        <v>1448979.49</v>
      </c>
      <c r="E16" s="59"/>
      <c r="F16" s="58"/>
      <c r="G16" s="75"/>
      <c r="P16" s="54"/>
    </row>
    <row r="17" spans="1:18" s="9" customFormat="1" ht="18" customHeight="1" x14ac:dyDescent="0.2">
      <c r="B17" s="110" t="s">
        <v>85</v>
      </c>
      <c r="C17" s="111"/>
      <c r="D17" s="40">
        <f>D12+D13+D14+D15+D16</f>
        <v>195347069.05000001</v>
      </c>
      <c r="E17"/>
      <c r="F17"/>
    </row>
    <row r="18" spans="1:18" s="9" customFormat="1" ht="18" customHeight="1" thickBot="1" x14ac:dyDescent="0.25">
      <c r="B18" s="24" t="s">
        <v>86</v>
      </c>
      <c r="C18" s="27"/>
      <c r="D18" s="28"/>
      <c r="E18"/>
      <c r="F18"/>
    </row>
    <row r="19" spans="1:18" s="9" customFormat="1" ht="45.75" customHeight="1" thickBot="1" x14ac:dyDescent="0.25">
      <c r="B19" s="29" t="s">
        <v>59</v>
      </c>
      <c r="C19" s="51" t="s">
        <v>25</v>
      </c>
      <c r="D19" s="30" t="s">
        <v>62</v>
      </c>
      <c r="E19" s="30" t="s">
        <v>67</v>
      </c>
      <c r="F19" s="30" t="s">
        <v>63</v>
      </c>
      <c r="G19" s="29" t="s">
        <v>51</v>
      </c>
      <c r="H19" s="29" t="s">
        <v>52</v>
      </c>
      <c r="I19" s="29" t="s">
        <v>53</v>
      </c>
      <c r="J19" s="29" t="s">
        <v>54</v>
      </c>
      <c r="K19" s="29" t="s">
        <v>55</v>
      </c>
      <c r="L19" s="29" t="s">
        <v>56</v>
      </c>
      <c r="M19" s="29" t="s">
        <v>57</v>
      </c>
      <c r="N19" s="29" t="s">
        <v>58</v>
      </c>
      <c r="O19" s="74" t="s">
        <v>88</v>
      </c>
      <c r="P19" s="74" t="s">
        <v>89</v>
      </c>
      <c r="Q19" s="74" t="s">
        <v>90</v>
      </c>
      <c r="R19" s="74" t="s">
        <v>91</v>
      </c>
    </row>
    <row r="20" spans="1:18" s="9" customFormat="1" ht="18" customHeight="1" x14ac:dyDescent="0.2">
      <c r="B20" s="106" t="s">
        <v>9</v>
      </c>
      <c r="C20" s="41" t="s">
        <v>22</v>
      </c>
      <c r="D20" s="31">
        <f>G20+H20+I20+J20+K20+L20+M20+N20</f>
        <v>1871088492.4699998</v>
      </c>
      <c r="E20" s="31">
        <f>O20+P20+Q20+R20</f>
        <v>935182060.18999994</v>
      </c>
      <c r="F20" s="31">
        <f>D20+E20</f>
        <v>2806270552.6599998</v>
      </c>
      <c r="G20" s="31">
        <f>SUM(G21:G23)</f>
        <v>232870698.88999999</v>
      </c>
      <c r="H20" s="31">
        <f t="shared" ref="H20:R20" si="0">SUM(H21:H23)</f>
        <v>233113198.19</v>
      </c>
      <c r="I20" s="31">
        <f t="shared" si="0"/>
        <v>235050173.63999999</v>
      </c>
      <c r="J20" s="31">
        <f t="shared" si="0"/>
        <v>233978413.82999998</v>
      </c>
      <c r="K20" s="31">
        <f t="shared" si="0"/>
        <v>234976731.25</v>
      </c>
      <c r="L20" s="31">
        <f t="shared" si="0"/>
        <v>232436395.36000001</v>
      </c>
      <c r="M20" s="31">
        <f>SUM(M21:M23)</f>
        <v>234988049.13999999</v>
      </c>
      <c r="N20" s="31">
        <f t="shared" si="0"/>
        <v>233674832.16999999</v>
      </c>
      <c r="O20" s="85">
        <f t="shared" si="0"/>
        <v>234545384.75</v>
      </c>
      <c r="P20" s="85">
        <f t="shared" si="0"/>
        <v>232994197.68000001</v>
      </c>
      <c r="Q20" s="85">
        <f>SUM(Q21:Q23)</f>
        <v>233888965.86000001</v>
      </c>
      <c r="R20" s="85">
        <f t="shared" si="0"/>
        <v>233753511.90000001</v>
      </c>
    </row>
    <row r="21" spans="1:18" s="9" customFormat="1" ht="18" customHeight="1" x14ac:dyDescent="0.2">
      <c r="B21" s="107"/>
      <c r="C21" s="42" t="s">
        <v>6</v>
      </c>
      <c r="D21" s="31">
        <f t="shared" ref="D21:D49" si="1">G21+H21+I21+J21+K21+L21+M21+N21</f>
        <v>1714948898.24</v>
      </c>
      <c r="E21" s="31">
        <f t="shared" ref="E21:E49" si="2">O21+P21+Q21+R21</f>
        <v>857474449.12</v>
      </c>
      <c r="F21" s="31">
        <f t="shared" ref="F21:F49" si="3">D21+E21</f>
        <v>2572423347.3600001</v>
      </c>
      <c r="G21" s="32">
        <f>211216881.46+3151730.82</f>
        <v>214368612.28</v>
      </c>
      <c r="H21" s="32">
        <v>214368612.28</v>
      </c>
      <c r="I21" s="32">
        <v>214368612.28</v>
      </c>
      <c r="J21" s="32">
        <v>214368612.28</v>
      </c>
      <c r="K21" s="32">
        <v>214368612.28</v>
      </c>
      <c r="L21" s="32">
        <v>214368612.28</v>
      </c>
      <c r="M21" s="32">
        <v>214368612.28</v>
      </c>
      <c r="N21" s="32">
        <v>214368612.28</v>
      </c>
      <c r="O21" s="86">
        <v>214368612.28</v>
      </c>
      <c r="P21" s="86">
        <v>214368612.28</v>
      </c>
      <c r="Q21" s="86">
        <v>214368612.28</v>
      </c>
      <c r="R21" s="86">
        <v>214368612.28</v>
      </c>
    </row>
    <row r="22" spans="1:18" s="9" customFormat="1" ht="18" customHeight="1" x14ac:dyDescent="0.2">
      <c r="A22" s="71"/>
      <c r="B22" s="107"/>
      <c r="C22" s="42" t="s">
        <v>7</v>
      </c>
      <c r="D22" s="31">
        <f>G22+H22+I22+J22+K22+L22+M22+N22</f>
        <v>145877415.56999999</v>
      </c>
      <c r="E22" s="31">
        <f t="shared" si="2"/>
        <v>71882628.00999999</v>
      </c>
      <c r="F22" s="31">
        <f t="shared" si="3"/>
        <v>217760043.57999998</v>
      </c>
      <c r="G22" s="32">
        <v>17226041.219999999</v>
      </c>
      <c r="H22" s="32">
        <v>17468540.52</v>
      </c>
      <c r="I22" s="32">
        <v>19405515.969999999</v>
      </c>
      <c r="J22" s="32">
        <v>18333756.16</v>
      </c>
      <c r="K22" s="32">
        <v>19332073.579999998</v>
      </c>
      <c r="L22" s="32">
        <v>16781710.969999999</v>
      </c>
      <c r="M22" s="32">
        <v>19333340.199999999</v>
      </c>
      <c r="N22" s="32">
        <v>17996436.949999999</v>
      </c>
      <c r="O22" s="86">
        <v>18700907.559999999</v>
      </c>
      <c r="P22" s="86">
        <v>17230611.850000001</v>
      </c>
      <c r="Q22" s="86">
        <v>18046930.25</v>
      </c>
      <c r="R22" s="86">
        <v>17904178.350000001</v>
      </c>
    </row>
    <row r="23" spans="1:18" s="9" customFormat="1" ht="18" customHeight="1" x14ac:dyDescent="0.2">
      <c r="A23" s="71"/>
      <c r="B23" s="107"/>
      <c r="C23" s="42" t="s">
        <v>31</v>
      </c>
      <c r="D23" s="31">
        <f t="shared" si="1"/>
        <v>10262178.659999998</v>
      </c>
      <c r="E23" s="31">
        <f t="shared" si="2"/>
        <v>5824983.0600000005</v>
      </c>
      <c r="F23" s="31">
        <f t="shared" si="3"/>
        <v>16087161.719999999</v>
      </c>
      <c r="G23" s="32">
        <v>1276045.3899999999</v>
      </c>
      <c r="H23" s="32">
        <v>1276045.3899999999</v>
      </c>
      <c r="I23" s="32">
        <v>1276045.3899999999</v>
      </c>
      <c r="J23" s="32">
        <v>1276045.3899999999</v>
      </c>
      <c r="K23" s="32">
        <v>1276045.3899999999</v>
      </c>
      <c r="L23" s="32">
        <v>1286072.1100000001</v>
      </c>
      <c r="M23" s="32">
        <v>1286096.6599999999</v>
      </c>
      <c r="N23" s="32">
        <v>1309782.94</v>
      </c>
      <c r="O23" s="86">
        <v>1475864.91</v>
      </c>
      <c r="P23" s="86">
        <v>1394973.55</v>
      </c>
      <c r="Q23" s="86">
        <v>1473423.33</v>
      </c>
      <c r="R23" s="86">
        <v>1480721.27</v>
      </c>
    </row>
    <row r="24" spans="1:18" s="9" customFormat="1" ht="18" customHeight="1" x14ac:dyDescent="0.2">
      <c r="B24" s="96" t="s">
        <v>10</v>
      </c>
      <c r="C24" s="43" t="s">
        <v>64</v>
      </c>
      <c r="D24" s="31">
        <f t="shared" si="1"/>
        <v>34100999.920000002</v>
      </c>
      <c r="E24" s="31">
        <f t="shared" si="2"/>
        <v>111430.09999999999</v>
      </c>
      <c r="F24" s="31">
        <f t="shared" si="3"/>
        <v>34212430.020000003</v>
      </c>
      <c r="G24" s="31">
        <v>3108.9</v>
      </c>
      <c r="H24" s="31">
        <v>270.74</v>
      </c>
      <c r="I24" s="31">
        <v>341672.74</v>
      </c>
      <c r="J24" s="31">
        <v>720.34</v>
      </c>
      <c r="K24" s="31">
        <v>3470305.33</v>
      </c>
      <c r="L24" s="31">
        <v>162.44</v>
      </c>
      <c r="M24" s="31">
        <v>60.56</v>
      </c>
      <c r="N24" s="31">
        <v>30284698.870000001</v>
      </c>
      <c r="O24" s="85">
        <v>0</v>
      </c>
      <c r="P24" s="85">
        <v>111136.28</v>
      </c>
      <c r="Q24" s="85">
        <v>6.51</v>
      </c>
      <c r="R24" s="85">
        <v>287.31</v>
      </c>
    </row>
    <row r="25" spans="1:18" s="9" customFormat="1" ht="18" customHeight="1" x14ac:dyDescent="0.2">
      <c r="B25" s="96" t="s">
        <v>11</v>
      </c>
      <c r="C25" s="43" t="s">
        <v>80</v>
      </c>
      <c r="D25" s="31">
        <f>G25+H25+I25+J25+K25+L25+M25+N25</f>
        <v>11100406.140000001</v>
      </c>
      <c r="E25" s="31">
        <f>O25+P25+Q25+R25</f>
        <v>18344460.109999999</v>
      </c>
      <c r="F25" s="31">
        <f>D25+E25</f>
        <v>29444866.25</v>
      </c>
      <c r="G25" s="31">
        <v>1878299.9</v>
      </c>
      <c r="H25" s="31">
        <v>1839767.3</v>
      </c>
      <c r="I25" s="31">
        <v>1697872.7</v>
      </c>
      <c r="J25" s="31">
        <v>1826122.45</v>
      </c>
      <c r="K25" s="31">
        <v>1929766.18</v>
      </c>
      <c r="L25" s="31">
        <v>1837299</v>
      </c>
      <c r="M25" s="31">
        <v>44336.86</v>
      </c>
      <c r="N25" s="31">
        <v>46941.75</v>
      </c>
      <c r="O25" s="85">
        <v>7963225.8799999999</v>
      </c>
      <c r="P25" s="85">
        <v>3649085.85</v>
      </c>
      <c r="Q25" s="85">
        <v>3465603.12</v>
      </c>
      <c r="R25" s="85">
        <v>3266545.26</v>
      </c>
    </row>
    <row r="26" spans="1:18" s="9" customFormat="1" ht="18" customHeight="1" x14ac:dyDescent="0.2">
      <c r="B26" s="52" t="s">
        <v>12</v>
      </c>
      <c r="C26" s="44" t="s">
        <v>48</v>
      </c>
      <c r="D26" s="31">
        <f>G26+H26+I26+J26+K26+L26+M26+N26</f>
        <v>33122696.699999996</v>
      </c>
      <c r="E26" s="31">
        <f t="shared" si="2"/>
        <v>11197637.48</v>
      </c>
      <c r="F26" s="31">
        <f t="shared" si="3"/>
        <v>44320334.179999992</v>
      </c>
      <c r="G26" s="33">
        <f>58270.14-81375.15</f>
        <v>-23105.009999999995</v>
      </c>
      <c r="H26" s="33">
        <f>124767.41+7495580.76</f>
        <v>7620348.1699999999</v>
      </c>
      <c r="I26" s="33">
        <f>93985.57+2933222.71</f>
        <v>3027208.28</v>
      </c>
      <c r="J26" s="33">
        <f>106690.97+4421319.95</f>
        <v>4528010.92</v>
      </c>
      <c r="K26" s="33">
        <f>115199.72+1425808.83+4620198.71</f>
        <v>6161207.2599999998</v>
      </c>
      <c r="L26" s="33">
        <f>105934.61+947369.82+3275062.49</f>
        <v>4328366.92</v>
      </c>
      <c r="M26" s="33">
        <f>117011.61+10401.16+4079937.67</f>
        <v>4207350.4399999995</v>
      </c>
      <c r="N26" s="33">
        <f>105265.38+3164803.12+3241.22</f>
        <v>3273309.72</v>
      </c>
      <c r="O26" s="87">
        <f>101973.11-174.61+2733217.56</f>
        <v>2835016.06</v>
      </c>
      <c r="P26" s="87">
        <f>108565.82+2767515.31</f>
        <v>2876081.13</v>
      </c>
      <c r="Q26" s="87">
        <f>2739665.32+101671.6</f>
        <v>2841336.92</v>
      </c>
      <c r="R26" s="87">
        <f>115711.9+2529491.47</f>
        <v>2645203.37</v>
      </c>
    </row>
    <row r="27" spans="1:18" s="49" customFormat="1" ht="18" customHeight="1" x14ac:dyDescent="0.2">
      <c r="B27" s="96" t="s">
        <v>13</v>
      </c>
      <c r="C27" s="43" t="s">
        <v>50</v>
      </c>
      <c r="D27" s="31">
        <f t="shared" si="1"/>
        <v>-7000533.6999999993</v>
      </c>
      <c r="E27" s="31">
        <f t="shared" si="2"/>
        <v>-2919992.36</v>
      </c>
      <c r="F27" s="31">
        <f t="shared" si="3"/>
        <v>-9920526.0599999987</v>
      </c>
      <c r="G27" s="31">
        <v>-282644.17</v>
      </c>
      <c r="H27" s="31">
        <v>-589636.25</v>
      </c>
      <c r="I27" s="31">
        <v>-798379.05</v>
      </c>
      <c r="J27" s="31">
        <v>-1076031.6200000001</v>
      </c>
      <c r="K27" s="31">
        <f>-119287.24-1566008.32-162917.6</f>
        <v>-1848213.1600000001</v>
      </c>
      <c r="L27" s="31">
        <f>-455346.7-188877.51</f>
        <v>-644224.21</v>
      </c>
      <c r="M27" s="31">
        <f>-15832.74-1159211.07</f>
        <v>-1175043.81</v>
      </c>
      <c r="N27" s="31">
        <v>-586361.43000000005</v>
      </c>
      <c r="O27" s="85">
        <f>-1910.89-871932.59</f>
        <v>-873843.48</v>
      </c>
      <c r="P27" s="85">
        <v>-649729.64</v>
      </c>
      <c r="Q27" s="85">
        <f>-128084.42-745672.27</f>
        <v>-873756.69000000006</v>
      </c>
      <c r="R27" s="85">
        <v>-522662.55</v>
      </c>
    </row>
    <row r="28" spans="1:18" s="49" customFormat="1" ht="18" customHeight="1" x14ac:dyDescent="0.2">
      <c r="B28" s="96" t="s">
        <v>14</v>
      </c>
      <c r="C28" s="43" t="s">
        <v>49</v>
      </c>
      <c r="D28" s="31">
        <f t="shared" si="1"/>
        <v>-20702.5</v>
      </c>
      <c r="E28" s="31">
        <f t="shared" si="2"/>
        <v>-192213.59</v>
      </c>
      <c r="F28" s="31">
        <f t="shared" si="3"/>
        <v>-212916.09</v>
      </c>
      <c r="G28" s="31">
        <v>-20702.5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85">
        <v>-7661.71</v>
      </c>
      <c r="P28" s="85">
        <v>-12285.86</v>
      </c>
      <c r="Q28" s="85">
        <v>-23680.31</v>
      </c>
      <c r="R28" s="85">
        <f>-148585.71</f>
        <v>-148585.71</v>
      </c>
    </row>
    <row r="29" spans="1:18" s="9" customFormat="1" ht="18" customHeight="1" x14ac:dyDescent="0.2">
      <c r="B29" s="96" t="s">
        <v>15</v>
      </c>
      <c r="C29" s="43" t="s">
        <v>41</v>
      </c>
      <c r="D29" s="31">
        <f t="shared" si="1"/>
        <v>0</v>
      </c>
      <c r="E29" s="31">
        <f t="shared" si="2"/>
        <v>0</v>
      </c>
      <c r="F29" s="31">
        <f t="shared" si="3"/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85">
        <v>0</v>
      </c>
      <c r="P29" s="85">
        <v>0</v>
      </c>
      <c r="Q29" s="85">
        <v>0</v>
      </c>
      <c r="R29" s="85">
        <v>0</v>
      </c>
    </row>
    <row r="30" spans="1:18" s="9" customFormat="1" ht="18" customHeight="1" x14ac:dyDescent="0.2">
      <c r="B30" s="96" t="s">
        <v>2</v>
      </c>
      <c r="C30" s="43" t="s">
        <v>42</v>
      </c>
      <c r="D30" s="31">
        <f t="shared" si="1"/>
        <v>7939838.0099999998</v>
      </c>
      <c r="E30" s="31">
        <f t="shared" si="2"/>
        <v>259739.55</v>
      </c>
      <c r="F30" s="31">
        <f t="shared" si="3"/>
        <v>8199577.5599999996</v>
      </c>
      <c r="G30" s="31">
        <v>7881037.8499999996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58800.160000000003</v>
      </c>
      <c r="O30" s="85">
        <v>171450.26</v>
      </c>
      <c r="P30" s="85">
        <v>88289.29</v>
      </c>
      <c r="Q30" s="85">
        <v>0</v>
      </c>
      <c r="R30" s="85">
        <v>0</v>
      </c>
    </row>
    <row r="31" spans="1:18" s="9" customFormat="1" ht="18" customHeight="1" x14ac:dyDescent="0.2">
      <c r="B31" s="96" t="s">
        <v>16</v>
      </c>
      <c r="C31" s="43" t="s">
        <v>72</v>
      </c>
      <c r="D31" s="31">
        <f t="shared" si="1"/>
        <v>202863.96</v>
      </c>
      <c r="E31" s="31">
        <f t="shared" si="2"/>
        <v>30419.439999999999</v>
      </c>
      <c r="F31" s="31">
        <f t="shared" si="3"/>
        <v>233283.4</v>
      </c>
      <c r="G31" s="31">
        <v>196513.53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6350.43</v>
      </c>
      <c r="O31" s="85">
        <v>19866.96</v>
      </c>
      <c r="P31" s="85">
        <v>11060.17</v>
      </c>
      <c r="Q31" s="85">
        <v>0</v>
      </c>
      <c r="R31" s="85">
        <v>-507.69</v>
      </c>
    </row>
    <row r="32" spans="1:18" s="9" customFormat="1" ht="18" customHeight="1" x14ac:dyDescent="0.2">
      <c r="B32" s="52" t="s">
        <v>17</v>
      </c>
      <c r="C32" s="44" t="s">
        <v>20</v>
      </c>
      <c r="D32" s="31">
        <f t="shared" si="1"/>
        <v>-160096448.49000001</v>
      </c>
      <c r="E32" s="31">
        <f t="shared" si="2"/>
        <v>-216118513.17999998</v>
      </c>
      <c r="F32" s="31">
        <f t="shared" si="3"/>
        <v>-376214961.66999996</v>
      </c>
      <c r="G32" s="31">
        <v>-35319230.07</v>
      </c>
      <c r="H32" s="31">
        <v>29919334.239999998</v>
      </c>
      <c r="I32" s="31">
        <v>1817900.3</v>
      </c>
      <c r="J32" s="31">
        <v>-25922372.370000001</v>
      </c>
      <c r="K32" s="31">
        <f>-83068742.99+5869733.51</f>
        <v>-77199009.479999989</v>
      </c>
      <c r="L32" s="31">
        <v>-11965954.67</v>
      </c>
      <c r="M32" s="31">
        <v>-17946244.949999999</v>
      </c>
      <c r="N32" s="31">
        <v>-23480871.489999998</v>
      </c>
      <c r="O32" s="85">
        <v>-31431917.469999999</v>
      </c>
      <c r="P32" s="85">
        <f>-32198835.8+183.08</f>
        <v>-32198652.720000003</v>
      </c>
      <c r="Q32" s="85">
        <v>-105310389.27</v>
      </c>
      <c r="R32" s="85">
        <v>-47177553.719999999</v>
      </c>
    </row>
    <row r="33" spans="2:18" s="9" customFormat="1" ht="18" customHeight="1" x14ac:dyDescent="0.2">
      <c r="B33" s="103" t="s">
        <v>4</v>
      </c>
      <c r="C33" s="45" t="s">
        <v>23</v>
      </c>
      <c r="D33" s="31">
        <f t="shared" si="1"/>
        <v>-1847077442.5999997</v>
      </c>
      <c r="E33" s="31">
        <f t="shared" si="2"/>
        <v>-966154660.46000004</v>
      </c>
      <c r="F33" s="31">
        <f t="shared" si="3"/>
        <v>-2813232103.0599995</v>
      </c>
      <c r="G33" s="31">
        <f>SUM(G34:G37)</f>
        <v>-213120740.16</v>
      </c>
      <c r="H33" s="31">
        <f t="shared" ref="H33:R33" si="4">SUM(H34:H37)</f>
        <v>-236817818.59999999</v>
      </c>
      <c r="I33" s="31">
        <f t="shared" si="4"/>
        <v>-227426098.56999999</v>
      </c>
      <c r="J33" s="31">
        <f t="shared" si="4"/>
        <v>-227426098.58999997</v>
      </c>
      <c r="K33" s="31">
        <f t="shared" si="4"/>
        <v>-231293358.36000001</v>
      </c>
      <c r="L33" s="31">
        <f>SUM(L34:L37)</f>
        <v>-236120952.59999996</v>
      </c>
      <c r="M33" s="31">
        <f t="shared" si="4"/>
        <v>-237149671.53</v>
      </c>
      <c r="N33" s="31">
        <f t="shared" si="4"/>
        <v>-237722704.19</v>
      </c>
      <c r="O33" s="85">
        <f t="shared" si="4"/>
        <v>-241952738.23000002</v>
      </c>
      <c r="P33" s="85">
        <f t="shared" si="4"/>
        <v>-241952738.23000002</v>
      </c>
      <c r="Q33" s="85">
        <f t="shared" si="4"/>
        <v>-237812442</v>
      </c>
      <c r="R33" s="85">
        <f t="shared" si="4"/>
        <v>-244436741.99999997</v>
      </c>
    </row>
    <row r="34" spans="2:18" s="9" customFormat="1" ht="18" customHeight="1" x14ac:dyDescent="0.2">
      <c r="B34" s="104"/>
      <c r="C34" s="42" t="s">
        <v>28</v>
      </c>
      <c r="D34" s="31">
        <f t="shared" si="1"/>
        <v>-874772298.07999992</v>
      </c>
      <c r="E34" s="31">
        <f t="shared" si="2"/>
        <v>-450895733.95999998</v>
      </c>
      <c r="F34" s="31">
        <f t="shared" si="3"/>
        <v>-1325668032.04</v>
      </c>
      <c r="G34" s="34">
        <v>-96815271.069999993</v>
      </c>
      <c r="H34" s="34">
        <v>-114073630.23</v>
      </c>
      <c r="I34" s="34">
        <v>-107143266.88</v>
      </c>
      <c r="J34" s="34">
        <v>-107143266.88</v>
      </c>
      <c r="K34" s="34">
        <v>-113252606.86</v>
      </c>
      <c r="L34" s="34">
        <v>-111551492.95999999</v>
      </c>
      <c r="M34" s="34">
        <v>-112158567.52</v>
      </c>
      <c r="N34" s="34">
        <v>-112634195.68000001</v>
      </c>
      <c r="O34" s="88">
        <v>-112723933.48999999</v>
      </c>
      <c r="P34" s="88">
        <v>-112723933.48999999</v>
      </c>
      <c r="Q34" s="88">
        <v>-112723933.48999999</v>
      </c>
      <c r="R34" s="88">
        <v>-112723933.48999999</v>
      </c>
    </row>
    <row r="35" spans="2:18" s="9" customFormat="1" ht="18" customHeight="1" x14ac:dyDescent="0.2">
      <c r="B35" s="104"/>
      <c r="C35" s="42" t="s">
        <v>29</v>
      </c>
      <c r="D35" s="31">
        <f t="shared" si="1"/>
        <v>-117379822.85000001</v>
      </c>
      <c r="E35" s="31">
        <f t="shared" si="2"/>
        <v>-66857146.359999999</v>
      </c>
      <c r="F35" s="31">
        <f t="shared" si="3"/>
        <v>-184236969.21000001</v>
      </c>
      <c r="G35" s="34">
        <v>-13334600.83</v>
      </c>
      <c r="H35" s="34">
        <v>-15618722.85</v>
      </c>
      <c r="I35" s="34">
        <v>-14476661.84</v>
      </c>
      <c r="J35" s="34">
        <v>-14476661.85</v>
      </c>
      <c r="K35" s="34">
        <v>-14564234.5</v>
      </c>
      <c r="L35" s="34">
        <v>-14889922.300000001</v>
      </c>
      <c r="M35" s="34">
        <v>-14960807.09</v>
      </c>
      <c r="N35" s="34">
        <v>-15058211.59</v>
      </c>
      <c r="O35" s="88">
        <v>-15058211.59</v>
      </c>
      <c r="P35" s="88">
        <v>-15058211.59</v>
      </c>
      <c r="Q35" s="88">
        <v>-15058211.59</v>
      </c>
      <c r="R35" s="88">
        <v>-21682511.59</v>
      </c>
    </row>
    <row r="36" spans="2:18" s="9" customFormat="1" ht="18" customHeight="1" x14ac:dyDescent="0.2">
      <c r="B36" s="104"/>
      <c r="C36" s="42" t="s">
        <v>26</v>
      </c>
      <c r="D36" s="31">
        <f t="shared" si="1"/>
        <v>-123093768.89</v>
      </c>
      <c r="E36" s="31">
        <f t="shared" si="2"/>
        <v>-64471817.920000002</v>
      </c>
      <c r="F36" s="31">
        <f t="shared" si="3"/>
        <v>-187565586.81</v>
      </c>
      <c r="G36" s="34">
        <v>-13554110.220000001</v>
      </c>
      <c r="H36" s="34">
        <v>-16348760.109999999</v>
      </c>
      <c r="I36" s="34">
        <v>-14951435.15</v>
      </c>
      <c r="J36" s="34">
        <v>-14951435.15</v>
      </c>
      <c r="K36" s="34">
        <v>-14951435.16</v>
      </c>
      <c r="L36" s="34">
        <v>-16100684.140000001</v>
      </c>
      <c r="M36" s="34">
        <v>-16117954.48</v>
      </c>
      <c r="N36" s="34">
        <v>-16117954.48</v>
      </c>
      <c r="O36" s="88">
        <v>-16117954.48</v>
      </c>
      <c r="P36" s="88">
        <v>-16117954.48</v>
      </c>
      <c r="Q36" s="88">
        <v>-16117954.48</v>
      </c>
      <c r="R36" s="88">
        <v>-16117954.48</v>
      </c>
    </row>
    <row r="37" spans="2:18" s="9" customFormat="1" ht="18" customHeight="1" x14ac:dyDescent="0.2">
      <c r="B37" s="105"/>
      <c r="C37" s="42" t="s">
        <v>3</v>
      </c>
      <c r="D37" s="31">
        <f t="shared" si="1"/>
        <v>-731831552.77999997</v>
      </c>
      <c r="E37" s="31">
        <f t="shared" si="2"/>
        <v>-383929962.21999997</v>
      </c>
      <c r="F37" s="31">
        <f t="shared" si="3"/>
        <v>-1115761515</v>
      </c>
      <c r="G37" s="34">
        <v>-89416758.040000007</v>
      </c>
      <c r="H37" s="34">
        <v>-90776705.409999996</v>
      </c>
      <c r="I37" s="34">
        <v>-90854734.700000003</v>
      </c>
      <c r="J37" s="34">
        <v>-90854734.709999993</v>
      </c>
      <c r="K37" s="34">
        <v>-88525081.840000004</v>
      </c>
      <c r="L37" s="34">
        <v>-93578853.200000003</v>
      </c>
      <c r="M37" s="34">
        <v>-93912342.439999998</v>
      </c>
      <c r="N37" s="34">
        <v>-93912342.439999998</v>
      </c>
      <c r="O37" s="88">
        <v>-98052638.670000002</v>
      </c>
      <c r="P37" s="88">
        <v>-98052638.670000002</v>
      </c>
      <c r="Q37" s="88">
        <v>-93912342.439999998</v>
      </c>
      <c r="R37" s="88">
        <v>-93912342.439999998</v>
      </c>
    </row>
    <row r="38" spans="2:18" s="9" customFormat="1" ht="18" customHeight="1" x14ac:dyDescent="0.2">
      <c r="B38" s="96" t="s">
        <v>5</v>
      </c>
      <c r="C38" s="43" t="s">
        <v>81</v>
      </c>
      <c r="D38" s="31">
        <f t="shared" si="1"/>
        <v>208511.6</v>
      </c>
      <c r="E38" s="31">
        <f t="shared" si="2"/>
        <v>752704.89</v>
      </c>
      <c r="F38" s="31">
        <f t="shared" si="3"/>
        <v>961216.49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f>120414.83</f>
        <v>120414.83</v>
      </c>
      <c r="N38" s="31">
        <f>30725.05+57371.72</f>
        <v>88096.77</v>
      </c>
      <c r="O38" s="85">
        <f>57534.54+66834.65</f>
        <v>124369.19</v>
      </c>
      <c r="P38" s="85">
        <v>169976.34</v>
      </c>
      <c r="Q38" s="85">
        <v>109767.82</v>
      </c>
      <c r="R38" s="85">
        <v>348591.54</v>
      </c>
    </row>
    <row r="39" spans="2:18" s="8" customFormat="1" ht="18" customHeight="1" x14ac:dyDescent="0.2">
      <c r="B39" s="96" t="s">
        <v>27</v>
      </c>
      <c r="C39" s="43" t="s">
        <v>0</v>
      </c>
      <c r="D39" s="31">
        <f t="shared" si="1"/>
        <v>-14338224.259999998</v>
      </c>
      <c r="E39" s="31">
        <f t="shared" si="2"/>
        <v>19853499.869999997</v>
      </c>
      <c r="F39" s="31">
        <f t="shared" si="3"/>
        <v>5515275.6099999994</v>
      </c>
      <c r="G39" s="31">
        <v>-2365011.9900000002</v>
      </c>
      <c r="H39" s="31">
        <v>113441.57</v>
      </c>
      <c r="I39" s="31">
        <v>-2666128.02</v>
      </c>
      <c r="J39" s="31">
        <v>-4076261.6</v>
      </c>
      <c r="K39" s="31">
        <v>-260963.79</v>
      </c>
      <c r="L39" s="31">
        <v>-11409967.279999999</v>
      </c>
      <c r="M39" s="31">
        <v>6208630.1900000004</v>
      </c>
      <c r="N39" s="31">
        <v>118036.66</v>
      </c>
      <c r="O39" s="85">
        <v>8843545.4399999995</v>
      </c>
      <c r="P39" s="85">
        <v>467137.29</v>
      </c>
      <c r="Q39" s="85">
        <v>1439564.7</v>
      </c>
      <c r="R39" s="85">
        <v>9103252.4399999995</v>
      </c>
    </row>
    <row r="40" spans="2:18" s="8" customFormat="1" ht="18" customHeight="1" x14ac:dyDescent="0.2">
      <c r="B40" s="96" t="s">
        <v>30</v>
      </c>
      <c r="C40" s="43" t="s">
        <v>1</v>
      </c>
      <c r="D40" s="31">
        <f t="shared" si="1"/>
        <v>-3112903.96</v>
      </c>
      <c r="E40" s="31">
        <f t="shared" si="2"/>
        <v>4310299.3100000005</v>
      </c>
      <c r="F40" s="31">
        <f t="shared" si="3"/>
        <v>1197395.3500000006</v>
      </c>
      <c r="G40" s="31">
        <v>-513456.55</v>
      </c>
      <c r="H40" s="31">
        <v>24628.76</v>
      </c>
      <c r="I40" s="31">
        <v>-578830.43000000005</v>
      </c>
      <c r="J40" s="31">
        <v>-884977.85</v>
      </c>
      <c r="K40" s="31">
        <v>-56656.61</v>
      </c>
      <c r="L40" s="31">
        <v>-2477163.9500000002</v>
      </c>
      <c r="M40" s="31">
        <v>1347926.29</v>
      </c>
      <c r="N40" s="31">
        <v>25626.38</v>
      </c>
      <c r="O40" s="85">
        <v>1919980.26</v>
      </c>
      <c r="P40" s="85">
        <v>101417.96</v>
      </c>
      <c r="Q40" s="85">
        <v>312537.07</v>
      </c>
      <c r="R40" s="85">
        <v>1976364.02</v>
      </c>
    </row>
    <row r="41" spans="2:18" s="8" customFormat="1" ht="18" customHeight="1" x14ac:dyDescent="0.2">
      <c r="B41" s="96" t="s">
        <v>32</v>
      </c>
      <c r="C41" s="43" t="s">
        <v>24</v>
      </c>
      <c r="D41" s="31">
        <f t="shared" si="1"/>
        <v>-704037.85000000009</v>
      </c>
      <c r="E41" s="31">
        <f t="shared" si="2"/>
        <v>-339072.12</v>
      </c>
      <c r="F41" s="31">
        <f t="shared" si="3"/>
        <v>-1043109.9700000001</v>
      </c>
      <c r="G41" s="31">
        <v>-89777.35</v>
      </c>
      <c r="H41" s="31">
        <v>-89170.12</v>
      </c>
      <c r="I41" s="31">
        <v>-89032.95</v>
      </c>
      <c r="J41" s="31">
        <v>-88030.45</v>
      </c>
      <c r="K41" s="31">
        <v>-87480.59</v>
      </c>
      <c r="L41" s="31">
        <v>-87315.28</v>
      </c>
      <c r="M41" s="31">
        <v>-86858.17</v>
      </c>
      <c r="N41" s="31">
        <v>-86372.94</v>
      </c>
      <c r="O41" s="85">
        <v>-85942.18</v>
      </c>
      <c r="P41" s="85">
        <v>-85442.28</v>
      </c>
      <c r="Q41" s="85">
        <v>-84077.79</v>
      </c>
      <c r="R41" s="85">
        <v>-83609.87</v>
      </c>
    </row>
    <row r="42" spans="2:18" s="8" customFormat="1" ht="15.75" x14ac:dyDescent="0.2">
      <c r="B42" s="96" t="s">
        <v>35</v>
      </c>
      <c r="C42" s="43" t="s">
        <v>18</v>
      </c>
      <c r="D42" s="31">
        <f t="shared" si="1"/>
        <v>-10768263.039999999</v>
      </c>
      <c r="E42" s="31">
        <f t="shared" si="2"/>
        <v>-5384131.5199999996</v>
      </c>
      <c r="F42" s="31">
        <f t="shared" si="3"/>
        <v>-16152394.559999999</v>
      </c>
      <c r="G42" s="31">
        <v>-1346032.88</v>
      </c>
      <c r="H42" s="31">
        <v>-1346032.88</v>
      </c>
      <c r="I42" s="31">
        <v>-1346032.88</v>
      </c>
      <c r="J42" s="31">
        <v>-1346032.88</v>
      </c>
      <c r="K42" s="31">
        <v>-1346032.88</v>
      </c>
      <c r="L42" s="31">
        <v>-1346032.88</v>
      </c>
      <c r="M42" s="31">
        <v>-1346032.88</v>
      </c>
      <c r="N42" s="31">
        <v>-1346032.88</v>
      </c>
      <c r="O42" s="85">
        <v>-1346032.88</v>
      </c>
      <c r="P42" s="85">
        <v>-1346032.88</v>
      </c>
      <c r="Q42" s="85">
        <v>-1346032.88</v>
      </c>
      <c r="R42" s="85">
        <v>-1346032.88</v>
      </c>
    </row>
    <row r="43" spans="2:18" s="8" customFormat="1" ht="18" customHeight="1" x14ac:dyDescent="0.2">
      <c r="B43" s="96" t="s">
        <v>36</v>
      </c>
      <c r="C43" s="43" t="s">
        <v>79</v>
      </c>
      <c r="D43" s="31">
        <f t="shared" si="1"/>
        <v>0</v>
      </c>
      <c r="E43" s="31">
        <f t="shared" si="2"/>
        <v>0</v>
      </c>
      <c r="F43" s="31">
        <f t="shared" si="3"/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85">
        <v>0</v>
      </c>
      <c r="P43" s="85">
        <v>0</v>
      </c>
      <c r="Q43" s="85">
        <v>0</v>
      </c>
      <c r="R43" s="85">
        <v>0</v>
      </c>
    </row>
    <row r="44" spans="2:18" s="8" customFormat="1" ht="18" customHeight="1" x14ac:dyDescent="0.2">
      <c r="B44" s="96" t="s">
        <v>37</v>
      </c>
      <c r="C44" s="43" t="s">
        <v>47</v>
      </c>
      <c r="D44" s="31">
        <f t="shared" si="1"/>
        <v>-167984.78999999998</v>
      </c>
      <c r="E44" s="31">
        <f t="shared" si="2"/>
        <v>-5670</v>
      </c>
      <c r="F44" s="31">
        <f t="shared" si="3"/>
        <v>-173654.78999999998</v>
      </c>
      <c r="G44" s="31">
        <v>-17010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-142743.26999999999</v>
      </c>
      <c r="N44" s="31">
        <v>-8231.52</v>
      </c>
      <c r="O44" s="85">
        <v>0</v>
      </c>
      <c r="P44" s="85">
        <v>0</v>
      </c>
      <c r="Q44" s="85">
        <v>0</v>
      </c>
      <c r="R44" s="85">
        <v>-5670</v>
      </c>
    </row>
    <row r="45" spans="2:18" s="8" customFormat="1" ht="18" customHeight="1" x14ac:dyDescent="0.2">
      <c r="B45" s="96" t="s">
        <v>38</v>
      </c>
      <c r="C45" s="43" t="s">
        <v>84</v>
      </c>
      <c r="D45" s="31">
        <f t="shared" si="1"/>
        <v>17010</v>
      </c>
      <c r="E45" s="31">
        <f t="shared" si="2"/>
        <v>148413.26999999999</v>
      </c>
      <c r="F45" s="31">
        <f t="shared" si="3"/>
        <v>165423.26999999999</v>
      </c>
      <c r="G45" s="31">
        <v>17010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85">
        <v>0</v>
      </c>
      <c r="P45" s="85">
        <v>142743.26999999999</v>
      </c>
      <c r="Q45" s="85">
        <v>0</v>
      </c>
      <c r="R45" s="85">
        <v>5670</v>
      </c>
    </row>
    <row r="46" spans="2:18" s="8" customFormat="1" ht="18" customHeight="1" x14ac:dyDescent="0.2">
      <c r="B46" s="96" t="s">
        <v>39</v>
      </c>
      <c r="C46" s="43" t="s">
        <v>19</v>
      </c>
      <c r="D46" s="31">
        <f t="shared" si="1"/>
        <v>-206332.64</v>
      </c>
      <c r="E46" s="31">
        <f t="shared" si="2"/>
        <v>0</v>
      </c>
      <c r="F46" s="31">
        <f t="shared" si="3"/>
        <v>-206332.64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-206332.64</v>
      </c>
      <c r="N46" s="31">
        <v>0</v>
      </c>
      <c r="O46" s="85">
        <v>0</v>
      </c>
      <c r="P46" s="85">
        <v>0</v>
      </c>
      <c r="Q46" s="85">
        <v>0</v>
      </c>
      <c r="R46" s="85">
        <v>0</v>
      </c>
    </row>
    <row r="47" spans="2:18" s="8" customFormat="1" ht="18" customHeight="1" x14ac:dyDescent="0.2">
      <c r="B47" s="96" t="s">
        <v>40</v>
      </c>
      <c r="C47" s="43" t="s">
        <v>34</v>
      </c>
      <c r="D47" s="31">
        <f t="shared" si="1"/>
        <v>-2182082.41</v>
      </c>
      <c r="E47" s="31">
        <f t="shared" si="2"/>
        <v>0</v>
      </c>
      <c r="F47" s="31">
        <f t="shared" si="3"/>
        <v>-2182082.41</v>
      </c>
      <c r="G47" s="31">
        <v>-196473.58</v>
      </c>
      <c r="H47" s="31">
        <v>-111448.98</v>
      </c>
      <c r="I47" s="31">
        <v>-261679.48</v>
      </c>
      <c r="J47" s="31">
        <v>-393165.16</v>
      </c>
      <c r="K47" s="31">
        <v>-285066.42</v>
      </c>
      <c r="L47" s="31">
        <v>-283402.86</v>
      </c>
      <c r="M47" s="31">
        <v>-262846.05</v>
      </c>
      <c r="N47" s="31">
        <v>-387999.88</v>
      </c>
      <c r="O47" s="85">
        <v>0</v>
      </c>
      <c r="P47" s="85">
        <v>0</v>
      </c>
      <c r="Q47" s="85">
        <v>0</v>
      </c>
      <c r="R47" s="85">
        <v>0</v>
      </c>
    </row>
    <row r="48" spans="2:18" s="8" customFormat="1" ht="18" customHeight="1" x14ac:dyDescent="0.2">
      <c r="B48" s="96" t="s">
        <v>43</v>
      </c>
      <c r="C48" s="66" t="s">
        <v>33</v>
      </c>
      <c r="D48" s="31">
        <f t="shared" si="1"/>
        <v>0</v>
      </c>
      <c r="E48" s="31">
        <f t="shared" si="2"/>
        <v>0</v>
      </c>
      <c r="F48" s="31">
        <f t="shared" si="3"/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89">
        <v>0</v>
      </c>
      <c r="P48" s="89">
        <v>0</v>
      </c>
      <c r="Q48" s="89">
        <v>0</v>
      </c>
      <c r="R48" s="89">
        <v>0</v>
      </c>
    </row>
    <row r="49" spans="2:18" s="8" customFormat="1" ht="18" customHeight="1" thickBot="1" x14ac:dyDescent="0.25">
      <c r="B49" s="95" t="s">
        <v>44</v>
      </c>
      <c r="C49" s="67" t="s">
        <v>66</v>
      </c>
      <c r="D49" s="31">
        <f t="shared" si="1"/>
        <v>-11.36</v>
      </c>
      <c r="E49" s="31">
        <f t="shared" si="2"/>
        <v>0</v>
      </c>
      <c r="F49" s="31">
        <f t="shared" si="3"/>
        <v>-11.36</v>
      </c>
      <c r="G49" s="46">
        <v>0</v>
      </c>
      <c r="H49" s="46">
        <v>-11.36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90">
        <v>0</v>
      </c>
      <c r="P49" s="90">
        <v>0</v>
      </c>
      <c r="Q49" s="90">
        <v>0</v>
      </c>
      <c r="R49" s="90">
        <v>0</v>
      </c>
    </row>
    <row r="50" spans="2:18" s="8" customFormat="1" ht="51.75" customHeight="1" thickTop="1" thickBot="1" x14ac:dyDescent="0.25">
      <c r="B50" s="112" t="s">
        <v>60</v>
      </c>
      <c r="C50" s="113"/>
      <c r="D50" s="36">
        <f>(+D20+D24+D25+D26+D27+D28+D29+D30+D31+D32+D33+D38+D39+D40+D41+D42+D43+D44+D45+D46+D47+D48+D49)+D17</f>
        <v>107452920.25000034</v>
      </c>
      <c r="E50" s="36">
        <f>(+E20+E24+E25+E26+E27+E28+E29+E30+E31+E32+E33+E38+E39+E40+E41+E42+E43+E44+E45+E46+E47+E48+E49)+D50</f>
        <v>-93470668.769999698</v>
      </c>
      <c r="F50" s="36">
        <f>(+F20+F24+F25+F26+F27+F28+F29+F30+F31+F32+F33+F38+F39+F40+F41+F42+F43+F44+F45+F46+F47+F48+F49)+D17</f>
        <v>-93470668.769999981</v>
      </c>
      <c r="G50" s="36">
        <f>(+G20+G24+G25+G26+G27+G28+G29+G30+G31+G32+G33+G38+G39+G40+G41+G42+G43+G44+G45+G46+G47+G48+G49)+D17</f>
        <v>184899553.86000004</v>
      </c>
      <c r="H50" s="36">
        <f>(+H20+H24+H25+H26+H27+H28+H29+H30+H31+H32+H33+H38+H39+H40+H41+H42+H43+H44+H45+H46+H47+H48+H49)+G50</f>
        <v>218576424.64000005</v>
      </c>
      <c r="I50" s="36">
        <f>(+I20+I24+I25+I26+I27+I28+I29+I30+I31+I32+I33+I38+I39+I40+I41+I42+I43+I44+I45+I46+I47+I48+I49)+H50</f>
        <v>227345070.92000005</v>
      </c>
      <c r="J50" s="36">
        <f t="shared" ref="J50:Q50" si="5">(+J20+J24+J25+J26+J27+J28+J29+J30+J31+J32+J33+J38+J39+J40+J41+J42+J43+J44+J45+J46+J47+J48+J49)+I50</f>
        <v>206465367.94000003</v>
      </c>
      <c r="K50" s="36">
        <f t="shared" si="5"/>
        <v>140626596.67000002</v>
      </c>
      <c r="L50" s="36">
        <f t="shared" si="5"/>
        <v>114893806.66000006</v>
      </c>
      <c r="M50" s="36">
        <f t="shared" si="5"/>
        <v>103494801.67000006</v>
      </c>
      <c r="N50" s="36">
        <f t="shared" si="5"/>
        <v>107452920.25000004</v>
      </c>
      <c r="O50" s="36">
        <f t="shared" si="5"/>
        <v>88177623.100000024</v>
      </c>
      <c r="P50" s="36">
        <f t="shared" si="5"/>
        <v>52543866.749999985</v>
      </c>
      <c r="Q50" s="36">
        <f t="shared" si="5"/>
        <v>-50848730.190000027</v>
      </c>
      <c r="R50" s="36">
        <f>(+R20+R24+R25+R26+R27+R28+R29+R30+R31+R32+R33+R38+R39+R40+R41+R42+R43+R44+R45+R46+R47+R48+R49)+Q50</f>
        <v>-93470668.770000011</v>
      </c>
    </row>
    <row r="51" spans="2:18" s="49" customFormat="1" ht="21.75" customHeight="1" thickTop="1" thickBot="1" x14ac:dyDescent="0.25">
      <c r="B51" s="47"/>
      <c r="C51" s="47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</row>
    <row r="52" spans="2:18" s="10" customFormat="1" ht="46.5" customHeight="1" thickBot="1" x14ac:dyDescent="0.25">
      <c r="B52" s="114" t="s">
        <v>92</v>
      </c>
      <c r="C52" s="115"/>
      <c r="D52" s="30" t="s">
        <v>62</v>
      </c>
      <c r="E52" s="30" t="s">
        <v>67</v>
      </c>
      <c r="F52" s="30" t="s">
        <v>63</v>
      </c>
      <c r="G52" s="29" t="s">
        <v>51</v>
      </c>
      <c r="H52" s="29" t="s">
        <v>52</v>
      </c>
      <c r="I52" s="29" t="s">
        <v>53</v>
      </c>
      <c r="J52" s="29" t="s">
        <v>54</v>
      </c>
      <c r="K52" s="29" t="s">
        <v>55</v>
      </c>
      <c r="L52" s="29" t="s">
        <v>56</v>
      </c>
      <c r="M52" s="29" t="s">
        <v>57</v>
      </c>
      <c r="N52" s="29" t="s">
        <v>58</v>
      </c>
      <c r="O52" s="29" t="s">
        <v>88</v>
      </c>
      <c r="P52" s="29" t="s">
        <v>89</v>
      </c>
      <c r="Q52" s="29" t="s">
        <v>90</v>
      </c>
      <c r="R52" s="73" t="s">
        <v>91</v>
      </c>
    </row>
    <row r="53" spans="2:18" s="49" customFormat="1" ht="30" customHeight="1" thickBot="1" x14ac:dyDescent="0.25">
      <c r="B53" s="101" t="s">
        <v>82</v>
      </c>
      <c r="C53" s="102"/>
      <c r="D53" s="72">
        <v>28222599.48</v>
      </c>
      <c r="E53" s="72">
        <f>D57</f>
        <v>30191450.969999999</v>
      </c>
      <c r="F53" s="72">
        <f>D53</f>
        <v>28222599.48</v>
      </c>
      <c r="G53" s="72">
        <f>D53</f>
        <v>28222599.48</v>
      </c>
      <c r="H53" s="72">
        <f>G57</f>
        <v>28419073.059999999</v>
      </c>
      <c r="I53" s="72">
        <f t="shared" ref="I53:R53" si="6">H57</f>
        <v>28530522.039999999</v>
      </c>
      <c r="J53" s="72">
        <f t="shared" si="6"/>
        <v>28792201.52</v>
      </c>
      <c r="K53" s="72">
        <f t="shared" si="6"/>
        <v>29185366.68</v>
      </c>
      <c r="L53" s="72">
        <f t="shared" si="6"/>
        <v>29470433.100000001</v>
      </c>
      <c r="M53" s="72">
        <f t="shared" si="6"/>
        <v>29753835.960000001</v>
      </c>
      <c r="N53" s="72">
        <f t="shared" si="6"/>
        <v>30016682.010000002</v>
      </c>
      <c r="O53" s="91">
        <f t="shared" si="6"/>
        <v>30191450.970000003</v>
      </c>
      <c r="P53" s="91">
        <f t="shared" si="6"/>
        <v>30431355.140000004</v>
      </c>
      <c r="Q53" s="91">
        <f t="shared" si="6"/>
        <v>30686896.180000003</v>
      </c>
      <c r="R53" s="91">
        <f t="shared" si="6"/>
        <v>30773828.580000002</v>
      </c>
    </row>
    <row r="54" spans="2:18" s="49" customFormat="1" ht="31.5" customHeight="1" x14ac:dyDescent="0.2">
      <c r="B54" s="118" t="s">
        <v>73</v>
      </c>
      <c r="C54" s="119"/>
      <c r="D54" s="68">
        <f>SUM(G54:N54)</f>
        <v>-242839.23</v>
      </c>
      <c r="E54" s="68">
        <f>SUM(O54:R54)</f>
        <v>0</v>
      </c>
      <c r="F54" s="68">
        <f>+D54+E54</f>
        <v>-242839.23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-242839.23</v>
      </c>
      <c r="O54" s="92">
        <v>0</v>
      </c>
      <c r="P54" s="92">
        <v>0</v>
      </c>
      <c r="Q54" s="92">
        <v>0</v>
      </c>
      <c r="R54" s="92">
        <v>0</v>
      </c>
    </row>
    <row r="55" spans="2:18" s="49" customFormat="1" ht="44.25" customHeight="1" thickBot="1" x14ac:dyDescent="0.25">
      <c r="B55" s="116" t="s">
        <v>76</v>
      </c>
      <c r="C55" s="117"/>
      <c r="D55" s="69">
        <f>SUM(G55:N55)</f>
        <v>2211690.7200000002</v>
      </c>
      <c r="E55" s="69">
        <f>SUM(O55:R55)</f>
        <v>1005949.7400000001</v>
      </c>
      <c r="F55" s="69">
        <f>+D55+E55</f>
        <v>3217640.4600000004</v>
      </c>
      <c r="G55" s="69">
        <v>196473.58</v>
      </c>
      <c r="H55" s="69">
        <v>111448.98</v>
      </c>
      <c r="I55" s="69">
        <v>261679.48</v>
      </c>
      <c r="J55" s="69">
        <v>393165.16</v>
      </c>
      <c r="K55" s="69">
        <v>285066.42</v>
      </c>
      <c r="L55" s="69">
        <v>283402.86</v>
      </c>
      <c r="M55" s="69">
        <v>262846.05</v>
      </c>
      <c r="N55" s="69">
        <f>387999.88+29608.31</f>
        <v>417608.19</v>
      </c>
      <c r="O55" s="93">
        <v>239904.17</v>
      </c>
      <c r="P55" s="93">
        <v>255541.04</v>
      </c>
      <c r="Q55" s="93">
        <v>239928.88</v>
      </c>
      <c r="R55" s="93">
        <v>270575.65000000002</v>
      </c>
    </row>
    <row r="56" spans="2:18" s="49" customFormat="1" ht="44.25" customHeight="1" thickBot="1" x14ac:dyDescent="0.25">
      <c r="B56" s="116" t="s">
        <v>77</v>
      </c>
      <c r="C56" s="117"/>
      <c r="D56" s="70">
        <v>0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>
        <v>0</v>
      </c>
      <c r="M56" s="70">
        <v>0</v>
      </c>
      <c r="N56" s="70">
        <v>0</v>
      </c>
      <c r="O56" s="94">
        <v>0</v>
      </c>
      <c r="P56" s="94">
        <v>0</v>
      </c>
      <c r="Q56" s="94">
        <v>-152996.48000000001</v>
      </c>
      <c r="R56" s="94">
        <v>0</v>
      </c>
    </row>
    <row r="57" spans="2:18" s="10" customFormat="1" ht="35.25" customHeight="1" thickTop="1" thickBot="1" x14ac:dyDescent="0.25">
      <c r="B57" s="112" t="s">
        <v>65</v>
      </c>
      <c r="C57" s="113"/>
      <c r="D57" s="36">
        <f>SUM(D53:D56)</f>
        <v>30191450.969999999</v>
      </c>
      <c r="E57" s="36">
        <f>SUM(E53:E56)</f>
        <v>31197400.709999997</v>
      </c>
      <c r="F57" s="36">
        <f>SUM(F53:F56)</f>
        <v>31197400.710000001</v>
      </c>
      <c r="G57" s="36">
        <f>SUM(G53:G56)</f>
        <v>28419073.059999999</v>
      </c>
      <c r="H57" s="36">
        <f t="shared" ref="H57:R57" si="7">SUM(H53:H56)</f>
        <v>28530522.039999999</v>
      </c>
      <c r="I57" s="36">
        <f t="shared" si="7"/>
        <v>28792201.52</v>
      </c>
      <c r="J57" s="36">
        <f t="shared" si="7"/>
        <v>29185366.68</v>
      </c>
      <c r="K57" s="36">
        <f t="shared" si="7"/>
        <v>29470433.100000001</v>
      </c>
      <c r="L57" s="36">
        <f t="shared" si="7"/>
        <v>29753835.960000001</v>
      </c>
      <c r="M57" s="36">
        <f t="shared" si="7"/>
        <v>30016682.010000002</v>
      </c>
      <c r="N57" s="36">
        <f t="shared" si="7"/>
        <v>30191450.970000003</v>
      </c>
      <c r="O57" s="36">
        <f t="shared" si="7"/>
        <v>30431355.140000004</v>
      </c>
      <c r="P57" s="36">
        <f t="shared" si="7"/>
        <v>30686896.180000003</v>
      </c>
      <c r="Q57" s="36">
        <f t="shared" si="7"/>
        <v>30773828.580000002</v>
      </c>
      <c r="R57" s="36">
        <f t="shared" si="7"/>
        <v>31044404.23</v>
      </c>
    </row>
    <row r="58" spans="2:18" ht="11.25" customHeight="1" thickTop="1" x14ac:dyDescent="0.2"/>
    <row r="59" spans="2:18" ht="15" customHeight="1" thickBot="1" x14ac:dyDescent="0.25"/>
    <row r="60" spans="2:18" s="10" customFormat="1" ht="46.5" customHeight="1" thickBot="1" x14ac:dyDescent="0.25">
      <c r="B60" s="114" t="s">
        <v>93</v>
      </c>
      <c r="C60" s="115"/>
      <c r="D60" s="30" t="s">
        <v>62</v>
      </c>
      <c r="E60" s="30" t="s">
        <v>67</v>
      </c>
      <c r="F60" s="30" t="s">
        <v>63</v>
      </c>
      <c r="G60" s="29" t="s">
        <v>51</v>
      </c>
      <c r="H60" s="29" t="s">
        <v>52</v>
      </c>
      <c r="I60" s="29" t="s">
        <v>53</v>
      </c>
      <c r="J60" s="29" t="s">
        <v>54</v>
      </c>
      <c r="K60" s="29" t="s">
        <v>55</v>
      </c>
      <c r="L60" s="29" t="s">
        <v>56</v>
      </c>
      <c r="M60" s="29" t="s">
        <v>57</v>
      </c>
      <c r="N60" s="29" t="s">
        <v>58</v>
      </c>
      <c r="O60" s="29" t="s">
        <v>88</v>
      </c>
      <c r="P60" s="29" t="s">
        <v>89</v>
      </c>
      <c r="Q60" s="29" t="s">
        <v>90</v>
      </c>
      <c r="R60" s="73" t="s">
        <v>91</v>
      </c>
    </row>
    <row r="61" spans="2:18" s="49" customFormat="1" ht="30" customHeight="1" thickBot="1" x14ac:dyDescent="0.25">
      <c r="B61" s="101" t="s">
        <v>71</v>
      </c>
      <c r="C61" s="102"/>
      <c r="D61" s="72">
        <v>340886565.63999999</v>
      </c>
      <c r="E61" s="72">
        <f>D65</f>
        <v>367246213.92999995</v>
      </c>
      <c r="F61" s="72">
        <f>D61</f>
        <v>340886565.63999999</v>
      </c>
      <c r="G61" s="72">
        <f>D61</f>
        <v>340886565.63999999</v>
      </c>
      <c r="H61" s="72">
        <f t="shared" ref="H61:R61" si="8">G65</f>
        <v>341047262.68000001</v>
      </c>
      <c r="I61" s="72">
        <f t="shared" si="8"/>
        <v>346966945.86000001</v>
      </c>
      <c r="J61" s="72">
        <f t="shared" si="8"/>
        <v>349340319.66000003</v>
      </c>
      <c r="K61" s="72">
        <f t="shared" si="8"/>
        <v>353196490.23000002</v>
      </c>
      <c r="L61" s="72">
        <f t="shared" si="8"/>
        <v>355463406.20999998</v>
      </c>
      <c r="M61" s="72">
        <f t="shared" si="8"/>
        <v>358620325.39999998</v>
      </c>
      <c r="N61" s="72">
        <f t="shared" si="8"/>
        <v>362113259.14999998</v>
      </c>
      <c r="O61" s="91">
        <f t="shared" si="8"/>
        <v>367246213.92999995</v>
      </c>
      <c r="P61" s="91">
        <f t="shared" si="8"/>
        <v>366447816.98999995</v>
      </c>
      <c r="Q61" s="91">
        <f t="shared" si="8"/>
        <v>370278856.68999994</v>
      </c>
      <c r="R61" s="91">
        <f t="shared" si="8"/>
        <v>371383012.29999995</v>
      </c>
    </row>
    <row r="62" spans="2:18" s="49" customFormat="1" ht="31.5" customHeight="1" x14ac:dyDescent="0.2">
      <c r="B62" s="118" t="s">
        <v>74</v>
      </c>
      <c r="C62" s="119"/>
      <c r="D62" s="68">
        <f>SUM(G62:N62)</f>
        <v>0</v>
      </c>
      <c r="E62" s="68">
        <f>SUM(O62:R62)</f>
        <v>0</v>
      </c>
      <c r="F62" s="68">
        <f>+D62+E62</f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92">
        <v>0</v>
      </c>
      <c r="P62" s="92">
        <v>0</v>
      </c>
      <c r="Q62" s="92">
        <v>0</v>
      </c>
      <c r="R62" s="92">
        <v>0</v>
      </c>
    </row>
    <row r="63" spans="2:18" s="49" customFormat="1" ht="44.25" customHeight="1" thickBot="1" x14ac:dyDescent="0.25">
      <c r="B63" s="116" t="s">
        <v>75</v>
      </c>
      <c r="C63" s="117"/>
      <c r="D63" s="69">
        <f>SUM(G63:N63)</f>
        <v>29407789.140000004</v>
      </c>
      <c r="E63" s="69">
        <f>SUM(O63:R63)</f>
        <v>7906186.4500000002</v>
      </c>
      <c r="F63" s="69">
        <f>+D63+E63</f>
        <v>37313975.590000004</v>
      </c>
      <c r="G63" s="69">
        <v>160697.04</v>
      </c>
      <c r="H63" s="69">
        <v>5919683.1799999997</v>
      </c>
      <c r="I63" s="69">
        <v>2373373.7999999998</v>
      </c>
      <c r="J63" s="69">
        <v>3856170.57</v>
      </c>
      <c r="K63" s="69">
        <v>5315056.83</v>
      </c>
      <c r="L63" s="69">
        <v>3156919.19</v>
      </c>
      <c r="M63" s="69">
        <v>3492933.75</v>
      </c>
      <c r="N63" s="69">
        <v>5132954.78</v>
      </c>
      <c r="O63" s="93">
        <v>-798396.94</v>
      </c>
      <c r="P63" s="93">
        <v>3831039.7</v>
      </c>
      <c r="Q63" s="93">
        <v>3913497.86</v>
      </c>
      <c r="R63" s="93">
        <v>960045.83</v>
      </c>
    </row>
    <row r="64" spans="2:18" s="49" customFormat="1" ht="44.25" customHeight="1" thickBot="1" x14ac:dyDescent="0.25">
      <c r="B64" s="116" t="s">
        <v>78</v>
      </c>
      <c r="C64" s="117"/>
      <c r="D64" s="70">
        <f>SUM(G64:N64)</f>
        <v>-3048140.85</v>
      </c>
      <c r="E64" s="70">
        <f>SUM(O64:R64)</f>
        <v>-2809342.25</v>
      </c>
      <c r="F64" s="69">
        <f>+D64+E64</f>
        <v>-5857483.0999999996</v>
      </c>
      <c r="G64" s="70">
        <v>0</v>
      </c>
      <c r="H64" s="70">
        <v>0</v>
      </c>
      <c r="I64" s="70">
        <v>0</v>
      </c>
      <c r="J64" s="70">
        <v>0</v>
      </c>
      <c r="K64" s="70">
        <v>-3048140.85</v>
      </c>
      <c r="L64" s="70">
        <v>0</v>
      </c>
      <c r="M64" s="70">
        <v>0</v>
      </c>
      <c r="N64" s="70">
        <v>0</v>
      </c>
      <c r="O64" s="94">
        <v>0</v>
      </c>
      <c r="P64" s="94">
        <v>0</v>
      </c>
      <c r="Q64" s="94">
        <v>-2809342.25</v>
      </c>
      <c r="R64" s="94">
        <v>0</v>
      </c>
    </row>
    <row r="65" spans="2:18" s="10" customFormat="1" ht="35.25" customHeight="1" thickTop="1" thickBot="1" x14ac:dyDescent="0.25">
      <c r="B65" s="112" t="s">
        <v>68</v>
      </c>
      <c r="C65" s="113"/>
      <c r="D65" s="36">
        <f>SUM(D61:D64)</f>
        <v>367246213.92999995</v>
      </c>
      <c r="E65" s="36">
        <f>SUM(E61:E64)</f>
        <v>372343058.12999994</v>
      </c>
      <c r="F65" s="36">
        <f>SUM(F61:F64)</f>
        <v>372343058.13</v>
      </c>
      <c r="G65" s="36">
        <f>SUM(G61:G64)</f>
        <v>341047262.68000001</v>
      </c>
      <c r="H65" s="36">
        <f t="shared" ref="H65:R65" si="9">SUM(H61:H64)</f>
        <v>346966945.86000001</v>
      </c>
      <c r="I65" s="36">
        <f t="shared" si="9"/>
        <v>349340319.66000003</v>
      </c>
      <c r="J65" s="36">
        <f t="shared" si="9"/>
        <v>353196490.23000002</v>
      </c>
      <c r="K65" s="36">
        <f t="shared" si="9"/>
        <v>355463406.20999998</v>
      </c>
      <c r="L65" s="36">
        <f t="shared" si="9"/>
        <v>358620325.39999998</v>
      </c>
      <c r="M65" s="36">
        <f t="shared" si="9"/>
        <v>362113259.14999998</v>
      </c>
      <c r="N65" s="36">
        <f t="shared" si="9"/>
        <v>367246213.92999995</v>
      </c>
      <c r="O65" s="36">
        <f t="shared" si="9"/>
        <v>366447816.98999995</v>
      </c>
      <c r="P65" s="36">
        <f t="shared" si="9"/>
        <v>370278856.68999994</v>
      </c>
      <c r="Q65" s="36">
        <f t="shared" si="9"/>
        <v>371383012.29999995</v>
      </c>
      <c r="R65" s="36">
        <f t="shared" si="9"/>
        <v>372343058.12999994</v>
      </c>
    </row>
    <row r="66" spans="2:18" ht="15.75" thickTop="1" x14ac:dyDescent="0.2"/>
    <row r="77" spans="2:18" x14ac:dyDescent="0.2">
      <c r="D77" s="60"/>
      <c r="E77" s="60"/>
      <c r="F77" s="60"/>
      <c r="G77" s="65"/>
    </row>
    <row r="78" spans="2:18" x14ac:dyDescent="0.2">
      <c r="D78" s="60"/>
      <c r="E78" s="60"/>
      <c r="F78" s="54"/>
      <c r="G78" s="65"/>
    </row>
    <row r="79" spans="2:18" x14ac:dyDescent="0.2">
      <c r="D79" s="61"/>
      <c r="E79" s="62"/>
      <c r="F79" s="60"/>
      <c r="G79" s="65"/>
    </row>
    <row r="80" spans="2:18" x14ac:dyDescent="0.2">
      <c r="D80" s="61"/>
      <c r="E80" s="62"/>
      <c r="F80" s="60"/>
      <c r="G80" s="65"/>
    </row>
    <row r="81" spans="4:7" x14ac:dyDescent="0.2">
      <c r="D81" s="61"/>
      <c r="E81" s="62"/>
      <c r="F81" s="3"/>
      <c r="G81" s="65"/>
    </row>
    <row r="82" spans="4:7" x14ac:dyDescent="0.2">
      <c r="D82" s="61"/>
      <c r="E82" s="62"/>
      <c r="F82" s="60"/>
      <c r="G82" s="65"/>
    </row>
    <row r="83" spans="4:7" x14ac:dyDescent="0.2">
      <c r="D83" s="61"/>
      <c r="E83" s="63"/>
      <c r="F83" s="60"/>
      <c r="G83" s="65"/>
    </row>
    <row r="84" spans="4:7" x14ac:dyDescent="0.2">
      <c r="D84" s="61"/>
      <c r="E84" s="60"/>
      <c r="F84" s="60"/>
      <c r="G84" s="65"/>
    </row>
    <row r="85" spans="4:7" x14ac:dyDescent="0.2">
      <c r="D85" s="64"/>
      <c r="E85" s="60"/>
      <c r="F85" s="60"/>
      <c r="G85" s="65"/>
    </row>
    <row r="86" spans="4:7" x14ac:dyDescent="0.2">
      <c r="D86" s="61"/>
      <c r="E86" s="62"/>
      <c r="F86" s="60"/>
      <c r="G86" s="65"/>
    </row>
    <row r="87" spans="4:7" x14ac:dyDescent="0.2">
      <c r="D87" s="61"/>
      <c r="E87" s="62"/>
      <c r="F87" s="60"/>
      <c r="G87" s="65"/>
    </row>
    <row r="88" spans="4:7" x14ac:dyDescent="0.2">
      <c r="D88" s="61"/>
      <c r="E88" s="62"/>
      <c r="F88" s="60"/>
      <c r="G88" s="65"/>
    </row>
    <row r="89" spans="4:7" x14ac:dyDescent="0.2">
      <c r="D89" s="61"/>
      <c r="E89" s="62"/>
      <c r="F89" s="60"/>
      <c r="G89" s="65"/>
    </row>
    <row r="90" spans="4:7" x14ac:dyDescent="0.2">
      <c r="D90" s="61"/>
      <c r="E90" s="63"/>
      <c r="F90" s="60"/>
      <c r="G90" s="65"/>
    </row>
    <row r="91" spans="4:7" x14ac:dyDescent="0.2">
      <c r="D91" s="60"/>
      <c r="E91" s="60"/>
      <c r="F91" s="60"/>
      <c r="G91" s="65"/>
    </row>
    <row r="92" spans="4:7" x14ac:dyDescent="0.2">
      <c r="D92" s="61"/>
      <c r="E92" s="60"/>
      <c r="F92" s="60"/>
      <c r="G92" s="65"/>
    </row>
  </sheetData>
  <sheetProtection sheet="1" objects="1" scenarios="1" selectLockedCells="1" selectUnlockedCells="1"/>
  <dataConsolidate/>
  <mergeCells count="19">
    <mergeCell ref="B56:C56"/>
    <mergeCell ref="B60:C60"/>
    <mergeCell ref="B57:C57"/>
    <mergeCell ref="B54:C54"/>
    <mergeCell ref="B55:C55"/>
    <mergeCell ref="B64:C64"/>
    <mergeCell ref="B62:C62"/>
    <mergeCell ref="B63:C63"/>
    <mergeCell ref="B65:C65"/>
    <mergeCell ref="B61:C61"/>
    <mergeCell ref="B11:C11"/>
    <mergeCell ref="B12:C12"/>
    <mergeCell ref="B53:C53"/>
    <mergeCell ref="B33:B37"/>
    <mergeCell ref="B20:B23"/>
    <mergeCell ref="B13:B16"/>
    <mergeCell ref="B17:C17"/>
    <mergeCell ref="B50:C50"/>
    <mergeCell ref="B52:C52"/>
  </mergeCells>
  <phoneticPr fontId="3" type="noConversion"/>
  <printOptions horizontalCentered="1"/>
  <pageMargins left="0" right="0" top="0" bottom="0" header="0" footer="0"/>
  <pageSetup paperSize="9" scale="50" orientation="landscape" r:id="rId1"/>
  <headerFooter alignWithMargins="0">
    <oddFooter>&amp;L&amp;Z&amp;F\&amp;F\&amp;A&amp;R
&amp;P de &amp;N.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855df5c-95c7-4b88-a17d-2f8ebe25ba97" xsi:nil="true"/>
    <lcf76f155ced4ddcb4097134ff3c332f xmlns="9f987d89-c3c0-470e-aaa6-c2253135bda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407BA364D1654387CA771A5258DC59" ma:contentTypeVersion="13" ma:contentTypeDescription="Create a new document." ma:contentTypeScope="" ma:versionID="96dd51078451f1f779ea0a5f50c8349a">
  <xsd:schema xmlns:xsd="http://www.w3.org/2001/XMLSchema" xmlns:xs="http://www.w3.org/2001/XMLSchema" xmlns:p="http://schemas.microsoft.com/office/2006/metadata/properties" xmlns:ns2="9f987d89-c3c0-470e-aaa6-c2253135bda5" xmlns:ns3="a855df5c-95c7-4b88-a17d-2f8ebe25ba97" targetNamespace="http://schemas.microsoft.com/office/2006/metadata/properties" ma:root="true" ma:fieldsID="e87f4f4993370356b6b0f3c181dc6540" ns2:_="" ns3:_="">
    <xsd:import namespace="9f987d89-c3c0-470e-aaa6-c2253135bda5"/>
    <xsd:import namespace="a855df5c-95c7-4b88-a17d-2f8ebe25b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87d89-c3c0-470e-aaa6-c2253135b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835187a-a473-41ac-a4ea-1c7fdfdb5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5df5c-95c7-4b88-a17d-2f8ebe25ba9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443d18-2079-4633-af81-f4c2c01c1e08}" ma:internalName="TaxCatchAll" ma:showField="CatchAllData" ma:web="a855df5c-95c7-4b88-a17d-2f8ebe25b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D37338-D7F3-4B14-B13B-089049F1129C}"/>
</file>

<file path=customXml/itemProps2.xml><?xml version="1.0" encoding="utf-8"?>
<ds:datastoreItem xmlns:ds="http://schemas.openxmlformats.org/officeDocument/2006/customXml" ds:itemID="{7B5FB1DE-92C3-476A-B3C3-D953A84FCAD9}"/>
</file>

<file path=customXml/itemProps3.xml><?xml version="1.0" encoding="utf-8"?>
<ds:datastoreItem xmlns:ds="http://schemas.openxmlformats.org/officeDocument/2006/customXml" ds:itemID="{3C37AF0E-1B83-45B7-8A2B-69DA29814B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FLUXO PROINFA 2014</vt:lpstr>
      <vt:lpstr>'FLUXO PROINFA 2014'!Area_de_impressao</vt:lpstr>
      <vt:lpstr>'FLUXO PROINFA 2014'!Titulos_de_impressao</vt:lpstr>
    </vt:vector>
  </TitlesOfParts>
  <Company>Centrais Elétricas Brasileiras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Chagas</dc:creator>
  <cp:lastModifiedBy>ramaral</cp:lastModifiedBy>
  <cp:lastPrinted>2015-01-23T13:15:32Z</cp:lastPrinted>
  <dcterms:created xsi:type="dcterms:W3CDTF">2004-10-29T19:07:02Z</dcterms:created>
  <dcterms:modified xsi:type="dcterms:W3CDTF">2016-09-16T12:39:54Z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0x010100B4407BA364D1654387CA771A5258DC59</vt:lpwstr>
  </property>
</Properties>
</file>